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dos Usuario Luiz\Desktop\LUIZ\BKP LUIZ\Documentos Luis Henrique\Particular\doutrina\Licitações\Biopragas 2025\LICITAÇÕES ADJUDICADAS\MPMG  - 07-01-2025 às 10h - Compras MG - CADASTRADA\"/>
    </mc:Choice>
  </mc:AlternateContent>
  <bookViews>
    <workbookView xWindow="0" yWindow="0" windowWidth="15345" windowHeight="4545" activeTab="2"/>
  </bookViews>
  <sheets>
    <sheet name="Quadro Resumo" sheetId="2" r:id="rId1"/>
    <sheet name=" Detalhamento Rota 1 e 2" sheetId="1" r:id="rId2"/>
    <sheet name="Detalhamento Rota 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5" i="3" l="1"/>
  <c r="F140" i="3"/>
  <c r="F139" i="3"/>
  <c r="F138" i="3"/>
  <c r="F137" i="3"/>
  <c r="D136" i="3"/>
  <c r="F136" i="3" s="1"/>
  <c r="C127" i="3"/>
  <c r="C128" i="3" s="1"/>
  <c r="G131" i="3" s="1"/>
  <c r="C97" i="3"/>
  <c r="C96" i="3"/>
  <c r="C92" i="3"/>
  <c r="C89" i="3"/>
  <c r="C81" i="3"/>
  <c r="C80" i="3"/>
  <c r="C104" i="3" s="1"/>
  <c r="F70" i="3"/>
  <c r="G70" i="3" s="1"/>
  <c r="G71" i="3" s="1"/>
  <c r="G73" i="3" s="1"/>
  <c r="G62" i="3"/>
  <c r="G61" i="3"/>
  <c r="F61" i="3"/>
  <c r="G60" i="3"/>
  <c r="F60" i="3"/>
  <c r="F59" i="3"/>
  <c r="G51" i="3"/>
  <c r="F51" i="3"/>
  <c r="G50" i="3"/>
  <c r="F50" i="3"/>
  <c r="F49" i="3"/>
  <c r="G49" i="3" s="1"/>
  <c r="G48" i="3"/>
  <c r="F48" i="3"/>
  <c r="G40" i="3"/>
  <c r="G39" i="3"/>
  <c r="G38" i="3"/>
  <c r="G37" i="3"/>
  <c r="G41" i="3" s="1"/>
  <c r="G31" i="3"/>
  <c r="G32" i="3" s="1"/>
  <c r="G25" i="3"/>
  <c r="G24" i="3"/>
  <c r="G23" i="3"/>
  <c r="G22" i="3"/>
  <c r="G142" i="3" l="1"/>
  <c r="C101" i="3"/>
  <c r="C87" i="3"/>
  <c r="C107" i="3"/>
  <c r="C98" i="3"/>
  <c r="C88" i="3"/>
  <c r="C108" i="3"/>
  <c r="G63" i="3"/>
  <c r="G26" i="3"/>
  <c r="G43" i="3" s="1"/>
  <c r="G52" i="3"/>
  <c r="G54" i="3" s="1"/>
  <c r="C109" i="3"/>
  <c r="C93" i="3"/>
  <c r="C102" i="3"/>
  <c r="C94" i="3"/>
  <c r="C103" i="3"/>
  <c r="C95" i="3"/>
  <c r="C99" i="3" l="1"/>
  <c r="C105" i="3"/>
  <c r="C110" i="3"/>
  <c r="C90" i="3"/>
  <c r="C111" i="3" s="1"/>
  <c r="C112" i="3" s="1"/>
  <c r="C113" i="3" s="1"/>
  <c r="G116" i="3" s="1"/>
  <c r="F160" i="3" s="1"/>
  <c r="E160" i="3" s="1"/>
  <c r="F136" i="1"/>
  <c r="F137" i="1"/>
  <c r="F138" i="1"/>
  <c r="F139" i="1"/>
  <c r="F140" i="1"/>
  <c r="D136" i="1" l="1"/>
  <c r="G62" i="1" l="1"/>
  <c r="F48" i="1"/>
  <c r="G48" i="1" s="1"/>
  <c r="G25" i="2" l="1"/>
  <c r="G44" i="2" s="1"/>
  <c r="F153" i="1"/>
  <c r="F152" i="1"/>
  <c r="F151" i="1"/>
  <c r="F150" i="1"/>
  <c r="F149" i="1"/>
  <c r="G155" i="1" l="1"/>
  <c r="G142" i="1" l="1"/>
  <c r="C127" i="1"/>
  <c r="C128" i="1" s="1"/>
  <c r="G131" i="1" s="1"/>
  <c r="F70" i="1"/>
  <c r="G70" i="1" s="1"/>
  <c r="C81" i="1"/>
  <c r="C80" i="1"/>
  <c r="F59" i="1"/>
  <c r="G59" i="1" s="1"/>
  <c r="F60" i="1"/>
  <c r="G60" i="1" s="1"/>
  <c r="F61" i="1"/>
  <c r="G61" i="1" s="1"/>
  <c r="F51" i="1"/>
  <c r="G51" i="1" s="1"/>
  <c r="F50" i="1"/>
  <c r="G50" i="1" s="1"/>
  <c r="F49" i="1"/>
  <c r="G49" i="1" s="1"/>
  <c r="G71" i="1" l="1"/>
  <c r="G73" i="1" s="1"/>
  <c r="C93" i="1"/>
  <c r="C102" i="1"/>
  <c r="C101" i="1"/>
  <c r="C109" i="1"/>
  <c r="C108" i="1"/>
  <c r="C107" i="1"/>
  <c r="C110" i="1" s="1"/>
  <c r="C104" i="1"/>
  <c r="C103" i="1"/>
  <c r="C88" i="1"/>
  <c r="C96" i="1"/>
  <c r="C87" i="1"/>
  <c r="C89" i="1"/>
  <c r="C94" i="1"/>
  <c r="C97" i="1"/>
  <c r="C92" i="1"/>
  <c r="C95" i="1"/>
  <c r="C98" i="1"/>
  <c r="G65" i="1"/>
  <c r="G52" i="1"/>
  <c r="G54" i="1" s="1"/>
  <c r="G40" i="1"/>
  <c r="G39" i="1"/>
  <c r="G38" i="1"/>
  <c r="G37" i="1"/>
  <c r="G31" i="1"/>
  <c r="G23" i="1"/>
  <c r="G24" i="1"/>
  <c r="G25" i="1"/>
  <c r="G22" i="1"/>
  <c r="C105" i="1" l="1"/>
  <c r="C99" i="1"/>
  <c r="C90" i="1"/>
  <c r="G41" i="1"/>
  <c r="G32" i="1"/>
  <c r="G26" i="1"/>
  <c r="C111" i="1" l="1"/>
  <c r="C112" i="1" s="1"/>
  <c r="C113" i="1" s="1"/>
  <c r="G116" i="1" s="1"/>
  <c r="G43" i="1"/>
  <c r="F160" i="1" l="1"/>
  <c r="E160" i="1" s="1"/>
</calcChain>
</file>

<file path=xl/sharedStrings.xml><?xml version="1.0" encoding="utf-8"?>
<sst xmlns="http://schemas.openxmlformats.org/spreadsheetml/2006/main" count="517" uniqueCount="210">
  <si>
    <t>RAZÃO SOCIAL</t>
  </si>
  <si>
    <t>Biopragas Controle e Vetores de Pragas Urbanas Ltda.</t>
  </si>
  <si>
    <t>CNPJ</t>
  </si>
  <si>
    <t>09.631.641/0001-19</t>
  </si>
  <si>
    <t>INCRIÇÃO ESTADUAL</t>
  </si>
  <si>
    <t>004185583.00-86</t>
  </si>
  <si>
    <t>INSCRIÇÃO MUNICIPAL</t>
  </si>
  <si>
    <t>0.226.014/001-1</t>
  </si>
  <si>
    <t>ENDEREÇO</t>
  </si>
  <si>
    <t>Rua João Neiva, 481, bairro Boa Vista, CEP 31.070-38</t>
  </si>
  <si>
    <t>PLANILHA DE FORMAÇÃO DE CUSTOS</t>
  </si>
  <si>
    <t>CUSTOS DIRETOS</t>
  </si>
  <si>
    <t>I - DOS INSUMOS DOMISSANITÁRIOS</t>
  </si>
  <si>
    <t>DESCRIÇÃO</t>
  </si>
  <si>
    <t>UNID</t>
  </si>
  <si>
    <t>VALOR TOTAL</t>
  </si>
  <si>
    <t>SERVIÇO</t>
  </si>
  <si>
    <t>Desinsetização</t>
  </si>
  <si>
    <t>0,05g/m2</t>
  </si>
  <si>
    <t>Gel Formicida - Formifim 30 g</t>
  </si>
  <si>
    <t>Gel Bactericida - Fipronol 30 g</t>
  </si>
  <si>
    <t>5g/m²</t>
  </si>
  <si>
    <t>Frasco/1L</t>
  </si>
  <si>
    <t>Bifentol PS - baratas - Polvilhamento</t>
  </si>
  <si>
    <t>Alfanol 50 SC - baratas - Pulverização</t>
  </si>
  <si>
    <t>TOTAL</t>
  </si>
  <si>
    <t>Descupinização</t>
  </si>
  <si>
    <t>DESCUPINIZAÇÃO</t>
  </si>
  <si>
    <t>DESINSETIZAÇÃO</t>
  </si>
  <si>
    <t>DESRATIZAÇÃO</t>
  </si>
  <si>
    <t>Desratização</t>
  </si>
  <si>
    <t>Ratol - Bloco Parafinado</t>
  </si>
  <si>
    <t>Porta Isca Chave - Synapse</t>
  </si>
  <si>
    <t>Ratol  GS - 50</t>
  </si>
  <si>
    <t>sache/20g</t>
  </si>
  <si>
    <t>01 bloco de 20g/local</t>
  </si>
  <si>
    <t>bloco/20g</t>
  </si>
  <si>
    <t>unidade/local</t>
  </si>
  <si>
    <t>Armadilha  Adesiva - Coly</t>
  </si>
  <si>
    <t>unid/local</t>
  </si>
  <si>
    <t>II - DOS EQUIPAMENTOS PARA APLICAÇÃO DOS INSUMOS DOMISSANITÁRIOS</t>
  </si>
  <si>
    <t>TIPO</t>
  </si>
  <si>
    <t>dia/trab</t>
  </si>
  <si>
    <t>Depreciação /36m</t>
  </si>
  <si>
    <t>Polivilhadeira - 1kg - Guarany</t>
  </si>
  <si>
    <t>Atomizador Costal Motoriz - 18 L</t>
  </si>
  <si>
    <t>Pulverizador  Costal - Guarany - 1O l</t>
  </si>
  <si>
    <t>Termonebulizador K 10 - Plusfog</t>
  </si>
  <si>
    <t/>
  </si>
  <si>
    <t>III - DOS EQUIPAMENTOS PROTEÇÃO INDIVIDUAL</t>
  </si>
  <si>
    <t>Depreciação /60m</t>
  </si>
  <si>
    <t>Respirador 3m 6200 Com Cartuchos - CA 4115</t>
  </si>
  <si>
    <t>Óculos de Proteção Ampla Visão Perfurado CARBOGRAFITE</t>
  </si>
  <si>
    <t>Depreciação /12m</t>
  </si>
  <si>
    <t>Luva Nitrilica - CA 40570/36648 - MARCA: VOLK</t>
  </si>
  <si>
    <t>Depreciação /24m</t>
  </si>
  <si>
    <t>Macacão de Segurança TYVEK - marca Volk</t>
  </si>
  <si>
    <t>variável</t>
  </si>
  <si>
    <t>Salário Base da Categoria</t>
  </si>
  <si>
    <t>Adicional de Insalubridade - 20%</t>
  </si>
  <si>
    <t>Jornada de trabalho Semanal</t>
  </si>
  <si>
    <t>44h</t>
  </si>
  <si>
    <t>IV - UNIFORMES</t>
  </si>
  <si>
    <t>Depreciação /6m</t>
  </si>
  <si>
    <t>Uniformes</t>
  </si>
  <si>
    <t>V - MÃO DE OBRA</t>
  </si>
  <si>
    <t>Jornada de trabalho diária</t>
  </si>
  <si>
    <t>8h</t>
  </si>
  <si>
    <t>Jornada de trabalho Mensal</t>
  </si>
  <si>
    <t>220h</t>
  </si>
  <si>
    <t>CONTROLADOR DE PRAGAS</t>
  </si>
  <si>
    <t>Qantidade de funcioários necessário</t>
  </si>
  <si>
    <t>REMUNERAÇÃO  E INFORMAÇÕES DA PRESTAÇÃO DE SERVIÇO</t>
  </si>
  <si>
    <t>FGTS - 8,00%</t>
  </si>
  <si>
    <t xml:space="preserve"> Previdencia Social Patronal - 20,00%</t>
  </si>
  <si>
    <r>
      <rPr>
        <sz val="8.5"/>
        <color rgb="FF111111"/>
        <rFont val="Calibri"/>
        <family val="2"/>
      </rPr>
      <t xml:space="preserve">  </t>
    </r>
    <r>
      <rPr>
        <sz val="8.5"/>
        <rFont val="Calibri"/>
        <family val="2"/>
      </rPr>
      <t>Seguro Acidente do trabalho/SAT/INSS - 3,00%</t>
    </r>
  </si>
  <si>
    <t>ENCARGOS SOCIAIS TRABAHISTAS - PRIMÁRIOS</t>
  </si>
  <si>
    <t>13ᵉ Salário - 8,33%</t>
  </si>
  <si>
    <t>Férias (1/12) - 8,33%</t>
  </si>
  <si>
    <t>Abono de férias/Terço  constitutional (1/3) - 2,73%</t>
  </si>
  <si>
    <t xml:space="preserve"> Auxílio Doença/Enfermidade - 1,66%</t>
  </si>
  <si>
    <t xml:space="preserve"> Licença paternidade/maternidade - 0,10%</t>
  </si>
  <si>
    <t>Percentual total de Encargos Sociais Primários - 31,00%</t>
  </si>
  <si>
    <t xml:space="preserve"> Ausências/Faltas legais - 0,28%</t>
  </si>
  <si>
    <r>
      <t xml:space="preserve">Acidente </t>
    </r>
    <r>
      <rPr>
        <sz val="8.5"/>
        <color rgb="FF0F0F0F"/>
        <rFont val="Calibri"/>
        <family val="2"/>
      </rPr>
      <t xml:space="preserve">de </t>
    </r>
    <r>
      <rPr>
        <sz val="8.5"/>
        <rFont val="Calibri"/>
        <family val="2"/>
      </rPr>
      <t>trabalho - 0,03%</t>
    </r>
  </si>
  <si>
    <t>VALOR TOTAL- REMUNERAÇÃO + ENCARGOS TRABALHISTAS</t>
  </si>
  <si>
    <t>VALOR DA HORA TRABALHADA</t>
  </si>
  <si>
    <t>RESPONSÁVEL TÉCNICO</t>
  </si>
  <si>
    <t>VALOR TOTAL- REMUNERAÇÃO</t>
  </si>
  <si>
    <t>1kg/unid</t>
  </si>
  <si>
    <t>30g/unid</t>
  </si>
  <si>
    <t>50 ml /m²</t>
  </si>
  <si>
    <t>01 sache 20g/ 5 a 5m</t>
  </si>
  <si>
    <t>ENCARGOS SOCIAIS TRABAHISTAS - SECUNDÁRIOS -1</t>
  </si>
  <si>
    <t>ENCARGOS SOCIAIS TRABAHISTAS - SECUNDÁRIOS -2</t>
  </si>
  <si>
    <t>Percentual total de Encargos Sociais Secundáris 1 - 21,51%</t>
  </si>
  <si>
    <t xml:space="preserve"> Aviso Prévio Indenizado/Trabalhado - 0,69%</t>
  </si>
  <si>
    <t xml:space="preserve"> lndenização Adicional - 0,08%</t>
  </si>
  <si>
    <t>lndenização FGTS 4D% (Rescisão sem justa causa) 3,20%</t>
  </si>
  <si>
    <t>Percentual total de Encargos Sociais Secundáris 2 - 4,77%</t>
  </si>
  <si>
    <t>ENCARGOS SOCIAIS TRABAHISTAS - SECUNDÁRIOS -3</t>
  </si>
  <si>
    <r>
      <rPr>
        <sz val="8.5"/>
        <rFont val="Calibri"/>
        <family val="2"/>
      </rPr>
      <t>lncidência  do FGTS exclusivamente sabre</t>
    </r>
    <r>
      <rPr>
        <sz val="8.5"/>
        <color rgb="FF0E0E0E"/>
        <rFont val="Calibri"/>
        <family val="2"/>
      </rPr>
      <t xml:space="preserve">a    </t>
    </r>
    <r>
      <rPr>
        <sz val="8.5"/>
        <rFont val="Calibri"/>
        <family val="2"/>
      </rPr>
      <t>aviso prévio indenizado</t>
    </r>
  </si>
  <si>
    <r>
      <rPr>
        <sz val="8.5"/>
        <rFont val="Calibri"/>
        <family val="2"/>
      </rPr>
      <t xml:space="preserve"> lncid FGTS s/ afast superior a </t>
    </r>
    <r>
      <rPr>
        <sz val="8.5"/>
        <color rgb="FF0E0E0E"/>
        <rFont val="Calibri"/>
        <family val="2"/>
      </rPr>
      <t xml:space="preserve">30 </t>
    </r>
    <r>
      <rPr>
        <sz val="8.5"/>
        <rFont val="Calibri"/>
        <family val="2"/>
      </rPr>
      <t xml:space="preserve">dias </t>
    </r>
    <r>
      <rPr>
        <sz val="8.5"/>
        <color rgb="FF181818"/>
        <rFont val="Calibri"/>
        <family val="2"/>
      </rPr>
      <t xml:space="preserve">p/ </t>
    </r>
    <r>
      <rPr>
        <sz val="8.5"/>
        <rFont val="Calibri"/>
        <family val="2"/>
      </rPr>
      <t>acidente de trab/auxil doença.</t>
    </r>
  </si>
  <si>
    <t>Percentual total de Encargos Sociais Secundáris 3 - 7,93%</t>
  </si>
  <si>
    <t>VALOR TOTAL - ENCRGOS TRABALHSITAS ( 1+2+3)</t>
  </si>
  <si>
    <r>
      <t>lncidência  dos Encargos  1</t>
    </r>
    <r>
      <rPr>
        <sz val="8.5"/>
        <color rgb="FF161616"/>
        <rFont val="Calibri"/>
        <family val="2"/>
      </rPr>
      <t xml:space="preserve"> </t>
    </r>
    <r>
      <rPr>
        <sz val="8.5"/>
        <rFont val="Calibri"/>
        <family val="2"/>
      </rPr>
      <t>sobre Encargos  2 - 7,91%</t>
    </r>
  </si>
  <si>
    <t>Indenização FGTS 1D% (Rescisão sem justa causa) 0,80%</t>
  </si>
  <si>
    <t>VALOR TOTAL DA MÃO DE OBRA - RESPONSÁVEL TÉCNICO</t>
  </si>
  <si>
    <t>VALOR TOTAL DA MÃO DE OBRA - CONTROLADOR</t>
  </si>
  <si>
    <t>Pedágios</t>
  </si>
  <si>
    <t>VI - DESLOCAMENTO E HOSPEDAGEM</t>
  </si>
  <si>
    <t>CUSTO UNITÁRIO</t>
  </si>
  <si>
    <t>CUSTO T OTAL</t>
  </si>
  <si>
    <t>VALOR UNIT</t>
  </si>
  <si>
    <t>CONCENT/USO</t>
  </si>
  <si>
    <t>Refeição - Valor médio ( almoço e janta) - R$45,00  por refeição/dias</t>
  </si>
  <si>
    <t>Combutível por KM rodado  (valor  do litro Etanol/consumo veiculo)</t>
  </si>
  <si>
    <t>Gasto de desgaste por KM rodado ( manutenção, pneus)</t>
  </si>
  <si>
    <t>Hospedagem - diária ( Valor médio/dias)</t>
  </si>
  <si>
    <t>CUSTOS INDIRETOS, TRIBUTOS E LUCRO</t>
  </si>
  <si>
    <t>VII - TRIBUTOS</t>
  </si>
  <si>
    <t>COFINS (OPTANTE PELO SIMPLES NACIONAL ANEXO IV)</t>
  </si>
  <si>
    <t>IRPJ (OPTANTE PELO SIMPLES NACIONAL  ANEXO IV)</t>
  </si>
  <si>
    <t>CSLL (OPTANTE PELO SIMPLES NACIONAL ANEXO IV)</t>
  </si>
  <si>
    <t>ALIQUOTA</t>
  </si>
  <si>
    <t>PIS/PASEP (OPTANTE PELO SIMPLES NACIONAL  ANEXO IV)</t>
  </si>
  <si>
    <t>ISS (OPTANTE PELO SIMPLES NACIONAL ANEXO IV)</t>
  </si>
  <si>
    <t>VALOR DO IMPOSTO</t>
  </si>
  <si>
    <t>VALOR TOTAL DE GASTOS + REAPLICAÇÃO</t>
  </si>
  <si>
    <t>VALOR TOTAL - PRODUTOS DOMISSANITÁRIOS</t>
  </si>
  <si>
    <t>VALOR TOTAL - EQUIPAMENTOS  PARA APLICAÇÃO DOS PRODUTOS DOMISSANITÁRIOS</t>
  </si>
  <si>
    <t>VALOR TOTAL - EQUIPAMENTOS  DE PROTEÇÃO INDIVIDUAL</t>
  </si>
  <si>
    <t>VALOR TOTAL - UNIFORMES</t>
  </si>
  <si>
    <t>ITEM</t>
  </si>
  <si>
    <t>UND</t>
  </si>
  <si>
    <t>QTDE.</t>
  </si>
  <si>
    <t>DADOS DO SERVIÇO</t>
  </si>
  <si>
    <t>LUCRO (VALOR TOTAL SERVIÇO - CUSTOS DIRETOS - CUSTOS INDIRETOS)</t>
  </si>
  <si>
    <t>VALOR TOTAL - IMPOSTOS        (ALIQUOTA TOTAL:  15,289108 %)</t>
  </si>
  <si>
    <t>VALOR DO LUCRO</t>
  </si>
  <si>
    <t xml:space="preserve">ALIQUOTA </t>
  </si>
  <si>
    <t>BIOPRAGAS CONTROLE E VETORES DE PRAGAS URBANAS LTDA</t>
  </si>
  <si>
    <r>
      <t>CNPJ nº 09.631.641/0001-19,</t>
    </r>
    <r>
      <rPr>
        <sz val="10"/>
        <color theme="1"/>
        <rFont val="Calibri"/>
        <family val="2"/>
        <scheme val="minor"/>
      </rPr>
      <t xml:space="preserve"> </t>
    </r>
  </si>
  <si>
    <t>neste ato representada por sua sócia administradora,</t>
  </si>
  <si>
    <r>
      <t xml:space="preserve">Floresmárcia Maria de Almeida- CPF nº </t>
    </r>
    <r>
      <rPr>
        <sz val="10"/>
        <color rgb="FF000000"/>
        <rFont val="Calibri"/>
        <family val="2"/>
        <scheme val="minor"/>
      </rPr>
      <t>653.927.016-0</t>
    </r>
  </si>
  <si>
    <t>TELEFONE</t>
  </si>
  <si>
    <t xml:space="preserve">(031) 3468-0831     </t>
  </si>
  <si>
    <t>ENDEREÇO ELETRÔNICO</t>
  </si>
  <si>
    <t>diretoria@biopragasbh.com.br</t>
  </si>
  <si>
    <t>DADOS DA EMPRESA</t>
  </si>
  <si>
    <t>GRUPO 1 - CUSTOS COM INSUMOS DOMISSANITÁRIOS</t>
  </si>
  <si>
    <t>SUB-TOTAL 1</t>
  </si>
  <si>
    <t xml:space="preserve"> GURPO 2 -  EQUIPAMENTOS PARA APLICAÇÃO DOS INSUMOS DOMISSANITÁRIOS</t>
  </si>
  <si>
    <t>Insumos para Desinsetização</t>
  </si>
  <si>
    <t>Polivilhadeira,Pulverizador  Costal - 1O l, Atomizador Costa  - 18 L, Termonebulizador</t>
  </si>
  <si>
    <t>SUB-TOTAL 2</t>
  </si>
  <si>
    <t>SUB-TOTAL 3</t>
  </si>
  <si>
    <t xml:space="preserve"> GURPO 3 -  EQUIPAMENTOS DE PROTEÇÃO INDIVIDUAL - EPI'S</t>
  </si>
  <si>
    <t xml:space="preserve">Luva Nitrilica , Óculos de Proteção,Respirador 3m 6200 Com Cartuchos,Macacão de Segurança </t>
  </si>
  <si>
    <t xml:space="preserve"> GURPO 4 -  UNIFORMES</t>
  </si>
  <si>
    <t>Uniformes ( blusas, calças, jaquetas)</t>
  </si>
  <si>
    <t>SUB-TOTAL 4</t>
  </si>
  <si>
    <t xml:space="preserve"> GURPO 5 -  MÃO DE OBRA - CONTROLADOR DE PRAGAS</t>
  </si>
  <si>
    <t>Salários, Adicionais, Encargos Trabalhistas</t>
  </si>
  <si>
    <t>SUB-TOTAL 5</t>
  </si>
  <si>
    <t xml:space="preserve"> GURPO 6 -  MÃO DE OBRA - RESPONSÁVEL TÉCNICO</t>
  </si>
  <si>
    <t>Salários, Adicionais</t>
  </si>
  <si>
    <t>SUB-TOTAL 6</t>
  </si>
  <si>
    <t xml:space="preserve"> GURPO 7 -  DESLOCAMENTO/HOSPEDAGEM/ALIMENTAÇÃO</t>
  </si>
  <si>
    <t>Combutível por KM rodado , Pedágio, Desgastem Hospedagem, Refeiçãom Taxa de Reforço</t>
  </si>
  <si>
    <t>SUB-TOTAL 7</t>
  </si>
  <si>
    <t>TOTAL DOS CUSTOS DIRETOS ( SUB-TOTAL 1 AO 7)</t>
  </si>
  <si>
    <t>CUSTOS INDIRETOS</t>
  </si>
  <si>
    <t xml:space="preserve"> GURPO 8 -  IMPOSTOS</t>
  </si>
  <si>
    <t>Cofins, PIS/PASEP, IRPJ, CSLL e ISS ( Optante pelo Simples Nacional - Anexo IV)</t>
  </si>
  <si>
    <t>TOTAL DOS CUSTOS INDIRETOS (SUB-TOTAL 8)</t>
  </si>
  <si>
    <t>LUCRO</t>
  </si>
  <si>
    <t>Lucro - Simples Nacional</t>
  </si>
  <si>
    <t>TOTAL GERAL ( Custos Diretos, Indiretos, Impostos + Lucro)</t>
  </si>
  <si>
    <t>a desinsetização, a desratização, a descorpinização, a descupinização nos imóveis</t>
  </si>
  <si>
    <t xml:space="preserve">ocupados pelas unidades do Ministério Público do Estado de Minas Gerais em todo </t>
  </si>
  <si>
    <t xml:space="preserve">o seu território, conforme especificações, exigências e quantidades estabelecidas no </t>
  </si>
  <si>
    <t>m²</t>
  </si>
  <si>
    <t>Valor do m²</t>
  </si>
  <si>
    <t>45 ml /m²</t>
  </si>
  <si>
    <t>Bifentol 200 SC</t>
  </si>
  <si>
    <t>do termo de referencia - Total de Aplicações: 04 ao ano.</t>
  </si>
  <si>
    <t>QTDE. TRIMESTRAL</t>
  </si>
  <si>
    <t>VALOR TRIMESTRAL</t>
  </si>
  <si>
    <t>VALOR TOTAL ANUAL</t>
  </si>
  <si>
    <t>TOTAL DE M² - TRIMESTRAL</t>
  </si>
  <si>
    <t>TOTAL DE M² - ANUAL ( 4 APL)</t>
  </si>
  <si>
    <t>VIII - LUCRO  ANUAL/TOTAL ( REF. 04 APLICAÇÕES)</t>
  </si>
  <si>
    <r>
      <t xml:space="preserve">PREGÃO ELETRÔNICO Nº </t>
    </r>
    <r>
      <rPr>
        <sz val="8"/>
        <color theme="1"/>
        <rFont val="Calibri"/>
        <family val="2"/>
        <scheme val="minor"/>
      </rPr>
      <t>302/2024</t>
    </r>
  </si>
  <si>
    <t>Prestação de serviços de dedetização, os quais englobam a desinsetização, a desratização, aMinistério Público do Estado de Minas Gerais em todo o seu território, conforme especificações, exigências e quantidades estabelecidas no Termo de Referência.</t>
  </si>
  <si>
    <t>OBJETO: Prestação de serviços de dedetização, os quais englobam a desinsetização, a desratização, a  desinsetização, a desratização, a descorpinização, a descupinização nos imóveisMinistério Público do Estado de Minas Gerais em todo o seu território, conforme especificações, exigências e quantidades estabelecidas no Termo de Referência.</t>
  </si>
  <si>
    <t>Lote 03</t>
  </si>
  <si>
    <t>MINISTÉRIO PÚBLICO DO ESTADO DE MINAS GERAIS</t>
  </si>
  <si>
    <t xml:space="preserve"> ** Margem = 45%  sobre quantidade de horas </t>
  </si>
  <si>
    <t>Considera:</t>
  </si>
  <si>
    <t>imprevistos, retorno/reforço, etc.</t>
  </si>
  <si>
    <t>QUANTIDADE DE HORAS (EXECUÇÃO SERVIÇO + DESLOCAMENTO) + (MARGEM)**</t>
  </si>
  <si>
    <t>QUANTIDADE DE HORAS (EXECUÇÃO SERVIÇO )</t>
  </si>
  <si>
    <t xml:space="preserve"> Insumos para Descupinização</t>
  </si>
  <si>
    <t>Insumos para Desratização</t>
  </si>
  <si>
    <t>DETALHAMENTO DOS CUSTOS - ROTA 03 ( UBERLÂNDIA E UBERABA)</t>
  </si>
  <si>
    <t>DETALHAMENTO DOS CUSTOS - ROTAS 01 E 02</t>
  </si>
  <si>
    <t>item.4.14 - TR</t>
  </si>
  <si>
    <t>*** TOTAL DE M² - TRIMESTRAL</t>
  </si>
  <si>
    <t>*** acrescida de 4,26%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</si>
</sst>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$&quot;\ #,##0.00;\-&quot;R$&quot;\ #,##0.00"/>
    <numFmt numFmtId="8" formatCode="&quot;R$&quot;\ #,##0.00;[Red]\-&quot;R$&quot;\ #,##0.00"/>
    <numFmt numFmtId="164" formatCode="&quot;R$&quot;\ #,##0.00"/>
    <numFmt numFmtId="165" formatCode="0.0000%"/>
  </numFmts>
  <fonts count="2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.5"/>
      <name val="Calibri"/>
      <family val="2"/>
    </font>
    <font>
      <sz val="8.5"/>
      <name val="Calibri"/>
      <family val="2"/>
    </font>
    <font>
      <sz val="8.5"/>
      <color rgb="FF0F0F0F"/>
      <name val="Calibri"/>
      <family val="2"/>
    </font>
    <font>
      <sz val="8.5"/>
      <color rgb="FF111111"/>
      <name val="Calibri"/>
      <family val="2"/>
    </font>
    <font>
      <b/>
      <sz val="11"/>
      <color theme="1"/>
      <name val="Calibri"/>
      <family val="2"/>
      <scheme val="minor"/>
    </font>
    <font>
      <sz val="8.5"/>
      <name val="Calibri"/>
      <family val="2"/>
    </font>
    <font>
      <sz val="8.5"/>
      <color rgb="FF000000"/>
      <name val="Calibri"/>
      <family val="2"/>
    </font>
    <font>
      <b/>
      <sz val="8.5"/>
      <name val="Calibri"/>
      <family val="2"/>
    </font>
    <font>
      <b/>
      <sz val="8.5"/>
      <color rgb="FF000000"/>
      <name val="Calibri"/>
      <family val="2"/>
    </font>
    <font>
      <sz val="8.5"/>
      <color rgb="FF161616"/>
      <name val="Calibri"/>
      <family val="2"/>
    </font>
    <font>
      <sz val="8.5"/>
      <color rgb="FF0E0E0E"/>
      <name val="Calibri"/>
      <family val="2"/>
    </font>
    <font>
      <sz val="8.5"/>
      <color rgb="FF181818"/>
      <name val="Calibri"/>
      <family val="2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</font>
    <font>
      <b/>
      <sz val="8"/>
      <color theme="1"/>
      <name val="Calibri"/>
      <family val="2"/>
    </font>
    <font>
      <u/>
      <sz val="8"/>
      <color theme="10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335">
    <xf numFmtId="0" fontId="0" fillId="0" borderId="0" xfId="0"/>
    <xf numFmtId="0" fontId="2" fillId="0" borderId="0" xfId="0" applyFont="1"/>
    <xf numFmtId="0" fontId="0" fillId="0" borderId="0" xfId="0" applyBorder="1"/>
    <xf numFmtId="0" fontId="4" fillId="0" borderId="0" xfId="0" applyFont="1" applyBorder="1"/>
    <xf numFmtId="0" fontId="4" fillId="0" borderId="0" xfId="0" applyFont="1"/>
    <xf numFmtId="0" fontId="3" fillId="0" borderId="0" xfId="0" applyFont="1" applyBorder="1"/>
    <xf numFmtId="0" fontId="4" fillId="0" borderId="0" xfId="0" applyFont="1" applyBorder="1" applyAlignment="1"/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Alignment="1">
      <alignment horizontal="center"/>
    </xf>
    <xf numFmtId="0" fontId="0" fillId="0" borderId="0" xfId="0" quotePrefix="1"/>
    <xf numFmtId="0" fontId="3" fillId="0" borderId="0" xfId="0" applyFont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/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right" vertical="top" wrapText="1"/>
    </xf>
    <xf numFmtId="2" fontId="11" fillId="0" borderId="0" xfId="0" applyNumberFormat="1" applyFont="1" applyFill="1" applyBorder="1" applyAlignment="1">
      <alignment horizontal="right" vertical="top" shrinkToFit="1"/>
    </xf>
    <xf numFmtId="0" fontId="10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right" vertical="top" shrinkToFit="1"/>
    </xf>
    <xf numFmtId="10" fontId="11" fillId="0" borderId="0" xfId="0" applyNumberFormat="1" applyFont="1" applyFill="1" applyBorder="1" applyAlignment="1">
      <alignment horizontal="center" vertical="top" shrinkToFit="1"/>
    </xf>
    <xf numFmtId="10" fontId="13" fillId="0" borderId="0" xfId="0" applyNumberFormat="1" applyFont="1" applyFill="1" applyBorder="1" applyAlignment="1">
      <alignment horizontal="center" vertical="top" shrinkToFit="1"/>
    </xf>
    <xf numFmtId="0" fontId="0" fillId="0" borderId="0" xfId="0" applyFill="1" applyBorder="1"/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9" fontId="4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5" xfId="0" applyFont="1" applyBorder="1"/>
    <xf numFmtId="0" fontId="4" fillId="0" borderId="9" xfId="0" applyFont="1" applyBorder="1" applyAlignment="1"/>
    <xf numFmtId="0" fontId="4" fillId="0" borderId="16" xfId="0" applyFont="1" applyBorder="1" applyAlignment="1"/>
    <xf numFmtId="0" fontId="3" fillId="4" borderId="6" xfId="0" applyFont="1" applyFill="1" applyBorder="1"/>
    <xf numFmtId="0" fontId="3" fillId="4" borderId="7" xfId="0" applyFont="1" applyFill="1" applyBorder="1"/>
    <xf numFmtId="0" fontId="4" fillId="4" borderId="8" xfId="0" applyFont="1" applyFill="1" applyBorder="1"/>
    <xf numFmtId="164" fontId="3" fillId="0" borderId="15" xfId="0" applyNumberFormat="1" applyFont="1" applyFill="1" applyBorder="1"/>
    <xf numFmtId="164" fontId="4" fillId="0" borderId="26" xfId="0" applyNumberFormat="1" applyFont="1" applyBorder="1"/>
    <xf numFmtId="164" fontId="4" fillId="0" borderId="5" xfId="0" applyNumberFormat="1" applyFont="1" applyBorder="1"/>
    <xf numFmtId="164" fontId="0" fillId="0" borderId="5" xfId="0" applyNumberFormat="1" applyBorder="1"/>
    <xf numFmtId="164" fontId="3" fillId="0" borderId="8" xfId="0" applyNumberFormat="1" applyFont="1" applyFill="1" applyBorder="1"/>
    <xf numFmtId="164" fontId="3" fillId="7" borderId="8" xfId="0" applyNumberFormat="1" applyFont="1" applyFill="1" applyBorder="1"/>
    <xf numFmtId="0" fontId="4" fillId="7" borderId="6" xfId="0" applyFont="1" applyFill="1" applyBorder="1" applyAlignment="1"/>
    <xf numFmtId="0" fontId="4" fillId="7" borderId="7" xfId="0" applyFont="1" applyFill="1" applyBorder="1" applyAlignment="1"/>
    <xf numFmtId="0" fontId="4" fillId="7" borderId="8" xfId="0" applyFont="1" applyFill="1" applyBorder="1" applyAlignment="1"/>
    <xf numFmtId="164" fontId="9" fillId="7" borderId="5" xfId="0" applyNumberFormat="1" applyFont="1" applyFill="1" applyBorder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2" borderId="6" xfId="0" applyFont="1" applyFill="1" applyBorder="1" applyAlignment="1"/>
    <xf numFmtId="0" fontId="3" fillId="2" borderId="26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4" fillId="0" borderId="7" xfId="0" applyFont="1" applyBorder="1"/>
    <xf numFmtId="0" fontId="4" fillId="0" borderId="3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10" fontId="4" fillId="0" borderId="27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2" borderId="5" xfId="0" applyFont="1" applyFill="1" applyBorder="1"/>
    <xf numFmtId="164" fontId="4" fillId="0" borderId="27" xfId="0" applyNumberFormat="1" applyFont="1" applyBorder="1" applyAlignment="1">
      <alignment horizontal="left"/>
    </xf>
    <xf numFmtId="164" fontId="4" fillId="0" borderId="5" xfId="0" applyNumberFormat="1" applyFont="1" applyBorder="1" applyAlignment="1">
      <alignment horizontal="left"/>
    </xf>
    <xf numFmtId="8" fontId="4" fillId="0" borderId="5" xfId="0" applyNumberFormat="1" applyFont="1" applyBorder="1" applyAlignment="1">
      <alignment horizontal="left"/>
    </xf>
    <xf numFmtId="0" fontId="4" fillId="6" borderId="8" xfId="0" applyFont="1" applyFill="1" applyBorder="1"/>
    <xf numFmtId="164" fontId="3" fillId="4" borderId="7" xfId="0" applyNumberFormat="1" applyFont="1" applyFill="1" applyBorder="1" applyAlignment="1"/>
    <xf numFmtId="164" fontId="3" fillId="4" borderId="8" xfId="0" applyNumberFormat="1" applyFont="1" applyFill="1" applyBorder="1" applyAlignment="1"/>
    <xf numFmtId="0" fontId="3" fillId="4" borderId="7" xfId="0" applyFont="1" applyFill="1" applyBorder="1" applyAlignment="1"/>
    <xf numFmtId="8" fontId="3" fillId="4" borderId="7" xfId="0" applyNumberFormat="1" applyFont="1" applyFill="1" applyBorder="1" applyAlignment="1"/>
    <xf numFmtId="8" fontId="3" fillId="4" borderId="8" xfId="0" applyNumberFormat="1" applyFont="1" applyFill="1" applyBorder="1" applyAlignment="1"/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164" fontId="4" fillId="0" borderId="7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4" fillId="0" borderId="33" xfId="0" applyNumberFormat="1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0" fontId="0" fillId="4" borderId="7" xfId="0" applyFill="1" applyBorder="1"/>
    <xf numFmtId="164" fontId="3" fillId="4" borderId="8" xfId="0" applyNumberFormat="1" applyFont="1" applyFill="1" applyBorder="1" applyAlignment="1">
      <alignment horizontal="center"/>
    </xf>
    <xf numFmtId="0" fontId="4" fillId="0" borderId="17" xfId="0" applyFont="1" applyBorder="1" applyAlignment="1"/>
    <xf numFmtId="0" fontId="4" fillId="0" borderId="32" xfId="0" applyFont="1" applyBorder="1" applyAlignment="1">
      <alignment horizontal="center"/>
    </xf>
    <xf numFmtId="0" fontId="3" fillId="0" borderId="25" xfId="0" applyFont="1" applyBorder="1"/>
    <xf numFmtId="0" fontId="4" fillId="0" borderId="36" xfId="0" applyFont="1" applyBorder="1" applyAlignment="1"/>
    <xf numFmtId="0" fontId="3" fillId="2" borderId="35" xfId="0" applyFont="1" applyFill="1" applyBorder="1" applyAlignment="1">
      <alignment horizontal="center"/>
    </xf>
    <xf numFmtId="164" fontId="4" fillId="0" borderId="32" xfId="0" applyNumberFormat="1" applyFont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4" fillId="0" borderId="27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4" fillId="0" borderId="40" xfId="0" applyNumberFormat="1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0" fillId="4" borderId="7" xfId="0" applyFill="1" applyBorder="1" applyAlignment="1"/>
    <xf numFmtId="0" fontId="3" fillId="2" borderId="6" xfId="0" applyFont="1" applyFill="1" applyBorder="1" applyAlignment="1">
      <alignment horizontal="center"/>
    </xf>
    <xf numFmtId="0" fontId="4" fillId="0" borderId="11" xfId="0" applyFont="1" applyBorder="1"/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27" xfId="0" applyFont="1" applyBorder="1"/>
    <xf numFmtId="0" fontId="3" fillId="4" borderId="6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0" borderId="13" xfId="0" applyFont="1" applyBorder="1" applyAlignment="1">
      <alignment vertical="center" wrapText="1"/>
    </xf>
    <xf numFmtId="0" fontId="4" fillId="0" borderId="17" xfId="0" applyFont="1" applyBorder="1"/>
    <xf numFmtId="0" fontId="3" fillId="0" borderId="26" xfId="0" applyFont="1" applyFill="1" applyBorder="1" applyAlignment="1">
      <alignment horizontal="center"/>
    </xf>
    <xf numFmtId="0" fontId="0" fillId="0" borderId="27" xfId="0" applyBorder="1"/>
    <xf numFmtId="0" fontId="3" fillId="2" borderId="26" xfId="0" applyFont="1" applyFill="1" applyBorder="1"/>
    <xf numFmtId="0" fontId="3" fillId="0" borderId="27" xfId="0" applyFont="1" applyFill="1" applyBorder="1"/>
    <xf numFmtId="0" fontId="4" fillId="0" borderId="26" xfId="0" applyFont="1" applyBorder="1" applyAlignment="1">
      <alignment horizontal="center"/>
    </xf>
    <xf numFmtId="4" fontId="23" fillId="0" borderId="26" xfId="0" applyNumberFormat="1" applyFont="1" applyBorder="1" applyAlignment="1">
      <alignment horizontal="center" vertical="center"/>
    </xf>
    <xf numFmtId="164" fontId="4" fillId="0" borderId="26" xfId="0" applyNumberFormat="1" applyFont="1" applyFill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8" fontId="3" fillId="4" borderId="15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2" fontId="23" fillId="0" borderId="0" xfId="0" applyNumberFormat="1" applyFont="1" applyBorder="1" applyAlignment="1">
      <alignment horizontal="center" vertical="center"/>
    </xf>
    <xf numFmtId="164" fontId="23" fillId="0" borderId="0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164" fontId="3" fillId="2" borderId="5" xfId="0" applyNumberFormat="1" applyFont="1" applyFill="1" applyBorder="1"/>
    <xf numFmtId="4" fontId="24" fillId="0" borderId="0" xfId="0" applyNumberFormat="1" applyFont="1"/>
    <xf numFmtId="4" fontId="3" fillId="4" borderId="8" xfId="0" applyNumberFormat="1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164" fontId="3" fillId="7" borderId="5" xfId="0" applyNumberFormat="1" applyFont="1" applyFill="1" applyBorder="1"/>
    <xf numFmtId="0" fontId="3" fillId="4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0" fontId="3" fillId="2" borderId="37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/>
    </xf>
    <xf numFmtId="0" fontId="3" fillId="2" borderId="3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7" fontId="4" fillId="0" borderId="26" xfId="0" applyNumberFormat="1" applyFont="1" applyFill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/>
    </xf>
    <xf numFmtId="0" fontId="3" fillId="7" borderId="7" xfId="0" applyFont="1" applyFill="1" applyBorder="1" applyAlignment="1">
      <alignment horizontal="left"/>
    </xf>
    <xf numFmtId="0" fontId="3" fillId="7" borderId="8" xfId="0" applyFont="1" applyFill="1" applyBorder="1" applyAlignment="1">
      <alignment horizontal="left"/>
    </xf>
    <xf numFmtId="0" fontId="22" fillId="7" borderId="6" xfId="0" applyFont="1" applyFill="1" applyBorder="1" applyAlignment="1">
      <alignment horizontal="left" vertical="top" wrapText="1"/>
    </xf>
    <xf numFmtId="0" fontId="22" fillId="7" borderId="7" xfId="0" applyFont="1" applyFill="1" applyBorder="1" applyAlignment="1">
      <alignment horizontal="left" vertical="top" wrapText="1"/>
    </xf>
    <xf numFmtId="0" fontId="22" fillId="7" borderId="8" xfId="0" applyFont="1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left" vertical="top" wrapText="1"/>
    </xf>
    <xf numFmtId="0" fontId="22" fillId="0" borderId="7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left" vertical="top" wrapText="1"/>
    </xf>
    <xf numFmtId="0" fontId="20" fillId="4" borderId="6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left" vertical="center"/>
    </xf>
    <xf numFmtId="0" fontId="19" fillId="0" borderId="9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19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0" borderId="8" xfId="0" applyFont="1" applyFill="1" applyBorder="1" applyAlignment="1">
      <alignment horizontal="left" vertical="top" wrapText="1"/>
    </xf>
    <xf numFmtId="0" fontId="22" fillId="0" borderId="13" xfId="0" applyFont="1" applyFill="1" applyBorder="1" applyAlignment="1">
      <alignment horizontal="left" vertical="top" wrapText="1"/>
    </xf>
    <xf numFmtId="0" fontId="22" fillId="0" borderId="17" xfId="0" applyFont="1" applyFill="1" applyBorder="1" applyAlignment="1">
      <alignment horizontal="left" vertical="top" wrapText="1"/>
    </xf>
    <xf numFmtId="0" fontId="22" fillId="0" borderId="14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19" xfId="1" applyBorder="1" applyAlignment="1">
      <alignment horizontal="left" vertical="center" wrapText="1"/>
    </xf>
    <xf numFmtId="0" fontId="21" fillId="0" borderId="20" xfId="1" applyFont="1" applyBorder="1" applyAlignment="1">
      <alignment horizontal="left" vertical="center" wrapText="1"/>
    </xf>
    <xf numFmtId="0" fontId="21" fillId="0" borderId="21" xfId="1" applyFont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left"/>
    </xf>
    <xf numFmtId="0" fontId="3" fillId="6" borderId="7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8" xfId="0" applyNumberFormat="1" applyFont="1" applyBorder="1" applyAlignment="1">
      <alignment horizontal="left"/>
    </xf>
    <xf numFmtId="164" fontId="4" fillId="0" borderId="17" xfId="0" applyNumberFormat="1" applyFont="1" applyBorder="1" applyAlignment="1">
      <alignment horizontal="left"/>
    </xf>
    <xf numFmtId="164" fontId="4" fillId="0" borderId="14" xfId="0" applyNumberFormat="1" applyFont="1" applyBorder="1" applyAlignment="1">
      <alignment horizontal="left"/>
    </xf>
    <xf numFmtId="164" fontId="4" fillId="0" borderId="13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4" fillId="0" borderId="6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164" fontId="4" fillId="0" borderId="12" xfId="0" applyNumberFormat="1" applyFont="1" applyBorder="1" applyAlignment="1">
      <alignment horizontal="left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 vertical="top" wrapText="1"/>
    </xf>
    <xf numFmtId="8" fontId="4" fillId="0" borderId="6" xfId="0" applyNumberFormat="1" applyFont="1" applyBorder="1" applyAlignment="1">
      <alignment horizontal="left"/>
    </xf>
    <xf numFmtId="8" fontId="4" fillId="0" borderId="7" xfId="0" applyNumberFormat="1" applyFont="1" applyBorder="1" applyAlignment="1">
      <alignment horizontal="left"/>
    </xf>
    <xf numFmtId="8" fontId="4" fillId="0" borderId="8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8" xfId="0" applyFont="1" applyBorder="1" applyAlignment="1"/>
    <xf numFmtId="0" fontId="3" fillId="3" borderId="19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left"/>
    </xf>
    <xf numFmtId="8" fontId="3" fillId="0" borderId="19" xfId="0" applyNumberFormat="1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8" fontId="3" fillId="0" borderId="20" xfId="0" applyNumberFormat="1" applyFont="1" applyBorder="1" applyAlignment="1">
      <alignment horizontal="left"/>
    </xf>
    <xf numFmtId="8" fontId="3" fillId="0" borderId="21" xfId="0" applyNumberFormat="1" applyFont="1" applyBorder="1" applyAlignment="1">
      <alignment horizontal="left"/>
    </xf>
    <xf numFmtId="0" fontId="3" fillId="4" borderId="19" xfId="0" applyFont="1" applyFill="1" applyBorder="1" applyAlignment="1">
      <alignment horizontal="left"/>
    </xf>
    <xf numFmtId="0" fontId="3" fillId="4" borderId="20" xfId="0" applyFont="1" applyFill="1" applyBorder="1" applyAlignment="1">
      <alignment horizontal="left"/>
    </xf>
    <xf numFmtId="0" fontId="3" fillId="4" borderId="2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3" fillId="2" borderId="18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4" fillId="0" borderId="39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8" fontId="6" fillId="0" borderId="41" xfId="0" applyNumberFormat="1" applyFont="1" applyFill="1" applyBorder="1" applyAlignment="1">
      <alignment horizontal="left" vertical="top" wrapText="1"/>
    </xf>
    <xf numFmtId="8" fontId="6" fillId="0" borderId="4" xfId="0" applyNumberFormat="1" applyFont="1" applyFill="1" applyBorder="1" applyAlignment="1">
      <alignment horizontal="left" vertical="top" wrapText="1"/>
    </xf>
    <xf numFmtId="8" fontId="6" fillId="0" borderId="22" xfId="0" applyNumberFormat="1" applyFont="1" applyFill="1" applyBorder="1" applyAlignment="1">
      <alignment horizontal="left" vertical="top" wrapText="1"/>
    </xf>
    <xf numFmtId="8" fontId="6" fillId="0" borderId="19" xfId="0" applyNumberFormat="1" applyFont="1" applyFill="1" applyBorder="1" applyAlignment="1">
      <alignment horizontal="left" vertical="top" wrapText="1"/>
    </xf>
    <xf numFmtId="8" fontId="6" fillId="0" borderId="20" xfId="0" applyNumberFormat="1" applyFont="1" applyFill="1" applyBorder="1" applyAlignment="1">
      <alignment horizontal="left" vertical="top" wrapText="1"/>
    </xf>
    <xf numFmtId="8" fontId="6" fillId="0" borderId="21" xfId="0" applyNumberFormat="1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wrapText="1"/>
    </xf>
    <xf numFmtId="0" fontId="4" fillId="0" borderId="12" xfId="0" applyFont="1" applyBorder="1" applyAlignment="1">
      <alignment horizontal="left"/>
    </xf>
    <xf numFmtId="0" fontId="3" fillId="3" borderId="11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left" vertical="top" wrapText="1"/>
    </xf>
    <xf numFmtId="0" fontId="5" fillId="0" borderId="17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8" fontId="4" fillId="0" borderId="11" xfId="0" applyNumberFormat="1" applyFont="1" applyBorder="1" applyAlignment="1">
      <alignment horizontal="left"/>
    </xf>
    <xf numFmtId="8" fontId="4" fillId="0" borderId="0" xfId="0" applyNumberFormat="1" applyFont="1" applyBorder="1" applyAlignment="1">
      <alignment horizontal="left"/>
    </xf>
    <xf numFmtId="8" fontId="4" fillId="0" borderId="12" xfId="0" applyNumberFormat="1" applyFont="1" applyBorder="1" applyAlignment="1">
      <alignment horizontal="left"/>
    </xf>
    <xf numFmtId="0" fontId="3" fillId="2" borderId="34" xfId="0" applyFont="1" applyFill="1" applyBorder="1" applyAlignment="1">
      <alignment horizontal="center"/>
    </xf>
    <xf numFmtId="0" fontId="4" fillId="0" borderId="28" xfId="0" applyFont="1" applyBorder="1" applyAlignment="1">
      <alignment horizontal="left" wrapText="1"/>
    </xf>
    <xf numFmtId="0" fontId="4" fillId="0" borderId="29" xfId="0" applyFont="1" applyBorder="1" applyAlignment="1">
      <alignment horizontal="left"/>
    </xf>
    <xf numFmtId="8" fontId="3" fillId="0" borderId="25" xfId="0" applyNumberFormat="1" applyFont="1" applyFill="1" applyBorder="1" applyAlignment="1">
      <alignment horizontal="left" wrapText="1"/>
    </xf>
    <xf numFmtId="8" fontId="3" fillId="0" borderId="23" xfId="0" applyNumberFormat="1" applyFont="1" applyFill="1" applyBorder="1" applyAlignment="1">
      <alignment horizontal="left" wrapText="1"/>
    </xf>
    <xf numFmtId="8" fontId="3" fillId="0" borderId="24" xfId="0" applyNumberFormat="1" applyFont="1" applyFill="1" applyBorder="1" applyAlignment="1">
      <alignment horizontal="left" wrapText="1"/>
    </xf>
    <xf numFmtId="8" fontId="3" fillId="0" borderId="6" xfId="0" applyNumberFormat="1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3" borderId="3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left" vertical="top" wrapText="1"/>
    </xf>
    <xf numFmtId="0" fontId="5" fillId="0" borderId="36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37" xfId="0" applyFont="1" applyFill="1" applyBorder="1" applyAlignment="1">
      <alignment horizontal="left" vertical="top" wrapText="1"/>
    </xf>
    <xf numFmtId="8" fontId="3" fillId="0" borderId="13" xfId="0" applyNumberFormat="1" applyFont="1" applyBorder="1" applyAlignment="1">
      <alignment horizontal="left"/>
    </xf>
    <xf numFmtId="8" fontId="3" fillId="0" borderId="17" xfId="0" applyNumberFormat="1" applyFont="1" applyBorder="1" applyAlignment="1">
      <alignment horizontal="left"/>
    </xf>
    <xf numFmtId="8" fontId="3" fillId="0" borderId="14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8" fontId="3" fillId="0" borderId="0" xfId="0" applyNumberFormat="1" applyFont="1" applyFill="1" applyBorder="1" applyAlignment="1">
      <alignment horizontal="left"/>
    </xf>
    <xf numFmtId="0" fontId="5" fillId="0" borderId="21" xfId="0" applyFont="1" applyFill="1" applyBorder="1" applyAlignment="1">
      <alignment horizontal="left" vertical="top" wrapText="1"/>
    </xf>
    <xf numFmtId="0" fontId="3" fillId="3" borderId="19" xfId="0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0</xdr:row>
      <xdr:rowOff>9525</xdr:rowOff>
    </xdr:from>
    <xdr:to>
      <xdr:col>0</xdr:col>
      <xdr:colOff>923924</xdr:colOff>
      <xdr:row>3</xdr:row>
      <xdr:rowOff>434340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99" y="9525"/>
          <a:ext cx="847725" cy="9963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219074</xdr:colOff>
      <xdr:row>52</xdr:row>
      <xdr:rowOff>33995</xdr:rowOff>
    </xdr:from>
    <xdr:to>
      <xdr:col>4</xdr:col>
      <xdr:colOff>95250</xdr:colOff>
      <xdr:row>58</xdr:row>
      <xdr:rowOff>152399</xdr:rowOff>
    </xdr:to>
    <xdr:pic>
      <xdr:nvPicPr>
        <xdr:cNvPr id="3" name="Imagem 6" descr="Assinatura Marc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799" y="11073470"/>
          <a:ext cx="1704976" cy="1261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800100</xdr:colOff>
      <xdr:row>4</xdr:row>
      <xdr:rowOff>62865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723900" cy="8248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2266949</xdr:colOff>
      <xdr:row>164</xdr:row>
      <xdr:rowOff>175231</xdr:rowOff>
    </xdr:from>
    <xdr:to>
      <xdr:col>3</xdr:col>
      <xdr:colOff>190499</xdr:colOff>
      <xdr:row>168</xdr:row>
      <xdr:rowOff>180974</xdr:rowOff>
    </xdr:to>
    <xdr:pic>
      <xdr:nvPicPr>
        <xdr:cNvPr id="8" name="Imagem 6" descr="Assinatura Marc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4" y="32626906"/>
          <a:ext cx="2047875" cy="767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800100</xdr:colOff>
      <xdr:row>4</xdr:row>
      <xdr:rowOff>62865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23900" cy="8248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2266949</xdr:colOff>
      <xdr:row>164</xdr:row>
      <xdr:rowOff>175231</xdr:rowOff>
    </xdr:from>
    <xdr:to>
      <xdr:col>3</xdr:col>
      <xdr:colOff>190499</xdr:colOff>
      <xdr:row>168</xdr:row>
      <xdr:rowOff>180974</xdr:rowOff>
    </xdr:to>
    <xdr:pic>
      <xdr:nvPicPr>
        <xdr:cNvPr id="3" name="Imagem 6" descr="Assinatura Marc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4" y="32426881"/>
          <a:ext cx="2047875" cy="767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toria@biopragasbh.com.b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A40" workbookViewId="0">
      <selection activeCell="K50" sqref="K50"/>
    </sheetView>
  </sheetViews>
  <sheetFormatPr defaultRowHeight="15" x14ac:dyDescent="0.25"/>
  <cols>
    <col min="1" max="1" width="18.42578125" customWidth="1"/>
    <col min="7" max="7" width="24" customWidth="1"/>
  </cols>
  <sheetData>
    <row r="1" spans="1:15" x14ac:dyDescent="0.25">
      <c r="A1" s="1"/>
      <c r="B1" s="1"/>
      <c r="C1" s="1"/>
      <c r="D1" s="1"/>
      <c r="E1" s="1"/>
      <c r="F1" s="1"/>
      <c r="K1" s="2"/>
      <c r="L1" s="2"/>
      <c r="M1" s="2"/>
      <c r="N1" s="2"/>
      <c r="O1" s="2"/>
    </row>
    <row r="2" spans="1:15" x14ac:dyDescent="0.25">
      <c r="A2" s="1"/>
      <c r="B2" s="1"/>
      <c r="C2" s="1"/>
      <c r="D2" s="1"/>
      <c r="E2" s="1"/>
      <c r="F2" s="1"/>
      <c r="K2" s="2"/>
      <c r="L2" s="2"/>
      <c r="M2" s="2"/>
      <c r="N2" s="2"/>
      <c r="O2" s="2"/>
    </row>
    <row r="3" spans="1:15" x14ac:dyDescent="0.25">
      <c r="A3" s="1"/>
      <c r="B3" s="193"/>
      <c r="C3" s="193"/>
      <c r="D3" s="193"/>
      <c r="E3" s="193"/>
      <c r="F3" s="193"/>
      <c r="G3" s="193"/>
      <c r="K3" s="2"/>
      <c r="L3" s="2"/>
      <c r="M3" s="2"/>
      <c r="N3" s="2"/>
      <c r="O3" s="2"/>
    </row>
    <row r="4" spans="1:15" ht="42" customHeight="1" x14ac:dyDescent="0.25">
      <c r="A4" s="1"/>
      <c r="B4" s="1"/>
      <c r="C4" s="1"/>
      <c r="D4" s="1"/>
      <c r="E4" s="1"/>
      <c r="F4" s="1"/>
      <c r="K4" s="2"/>
      <c r="L4" s="2"/>
      <c r="M4" s="2"/>
      <c r="N4" s="2"/>
      <c r="O4" s="2"/>
    </row>
    <row r="5" spans="1:15" x14ac:dyDescent="0.25">
      <c r="A5" s="194" t="s">
        <v>10</v>
      </c>
      <c r="B5" s="194"/>
      <c r="C5" s="194"/>
      <c r="D5" s="194"/>
      <c r="E5" s="194"/>
      <c r="F5" s="194"/>
      <c r="G5" s="194"/>
    </row>
    <row r="6" spans="1:15" ht="15.75" thickBot="1" x14ac:dyDescent="0.3"/>
    <row r="7" spans="1:15" ht="11.25" customHeight="1" x14ac:dyDescent="0.25">
      <c r="A7" s="198" t="s">
        <v>197</v>
      </c>
      <c r="B7" s="199"/>
      <c r="C7" s="199"/>
      <c r="D7" s="199"/>
      <c r="E7" s="199"/>
      <c r="F7" s="199"/>
      <c r="G7" s="200"/>
    </row>
    <row r="8" spans="1:15" ht="9.75" customHeight="1" x14ac:dyDescent="0.25">
      <c r="A8" s="201"/>
      <c r="B8" s="202"/>
      <c r="C8" s="202"/>
      <c r="D8" s="202"/>
      <c r="E8" s="202"/>
      <c r="F8" s="202"/>
      <c r="G8" s="203"/>
    </row>
    <row r="9" spans="1:15" ht="7.5" customHeight="1" thickBot="1" x14ac:dyDescent="0.3">
      <c r="A9" s="204"/>
      <c r="B9" s="205"/>
      <c r="C9" s="205"/>
      <c r="D9" s="205"/>
      <c r="E9" s="205"/>
      <c r="F9" s="205"/>
      <c r="G9" s="206"/>
    </row>
    <row r="10" spans="1:15" ht="24.75" customHeight="1" thickBot="1" x14ac:dyDescent="0.3">
      <c r="A10" s="207" t="s">
        <v>193</v>
      </c>
      <c r="B10" s="208"/>
      <c r="C10" s="208"/>
      <c r="D10" s="208"/>
      <c r="E10" s="208"/>
      <c r="F10" s="208"/>
      <c r="G10" s="209"/>
    </row>
    <row r="11" spans="1:15" ht="36.75" customHeight="1" thickBot="1" x14ac:dyDescent="0.3">
      <c r="A11" s="210" t="s">
        <v>195</v>
      </c>
      <c r="B11" s="211"/>
      <c r="C11" s="211"/>
      <c r="D11" s="211"/>
      <c r="E11" s="211"/>
      <c r="F11" s="211"/>
      <c r="G11" s="212"/>
    </row>
    <row r="12" spans="1:15" ht="15.75" thickBot="1" x14ac:dyDescent="0.3">
      <c r="A12" s="213" t="s">
        <v>149</v>
      </c>
      <c r="B12" s="214"/>
      <c r="C12" s="214"/>
      <c r="D12" s="214"/>
      <c r="E12" s="214"/>
      <c r="F12" s="214"/>
      <c r="G12" s="215"/>
    </row>
    <row r="13" spans="1:15" ht="16.5" customHeight="1" thickBot="1" x14ac:dyDescent="0.3">
      <c r="A13" s="34" t="s">
        <v>0</v>
      </c>
      <c r="B13" s="216" t="s">
        <v>1</v>
      </c>
      <c r="C13" s="217"/>
      <c r="D13" s="217"/>
      <c r="E13" s="217"/>
      <c r="F13" s="217"/>
      <c r="G13" s="218"/>
    </row>
    <row r="14" spans="1:15" ht="17.25" customHeight="1" thickBot="1" x14ac:dyDescent="0.3">
      <c r="A14" s="35" t="s">
        <v>2</v>
      </c>
      <c r="B14" s="216" t="s">
        <v>3</v>
      </c>
      <c r="C14" s="217"/>
      <c r="D14" s="217"/>
      <c r="E14" s="217"/>
      <c r="F14" s="217"/>
      <c r="G14" s="218"/>
    </row>
    <row r="15" spans="1:15" ht="15.75" customHeight="1" thickBot="1" x14ac:dyDescent="0.3">
      <c r="A15" s="34" t="s">
        <v>4</v>
      </c>
      <c r="B15" s="216" t="s">
        <v>5</v>
      </c>
      <c r="C15" s="217"/>
      <c r="D15" s="217"/>
      <c r="E15" s="217"/>
      <c r="F15" s="217"/>
      <c r="G15" s="218"/>
    </row>
    <row r="16" spans="1:15" ht="19.5" customHeight="1" thickBot="1" x14ac:dyDescent="0.3">
      <c r="A16" s="34" t="s">
        <v>6</v>
      </c>
      <c r="B16" s="219" t="s">
        <v>7</v>
      </c>
      <c r="C16" s="220"/>
      <c r="D16" s="220"/>
      <c r="E16" s="220"/>
      <c r="F16" s="220"/>
      <c r="G16" s="221"/>
    </row>
    <row r="17" spans="1:7" ht="18.75" customHeight="1" thickBot="1" x14ac:dyDescent="0.3">
      <c r="A17" s="34" t="s">
        <v>8</v>
      </c>
      <c r="B17" s="216" t="s">
        <v>9</v>
      </c>
      <c r="C17" s="217"/>
      <c r="D17" s="217"/>
      <c r="E17" s="217"/>
      <c r="F17" s="217"/>
      <c r="G17" s="218"/>
    </row>
    <row r="18" spans="1:7" ht="15.75" customHeight="1" thickBot="1" x14ac:dyDescent="0.3">
      <c r="A18" s="34" t="s">
        <v>145</v>
      </c>
      <c r="B18" s="216" t="s">
        <v>146</v>
      </c>
      <c r="C18" s="217"/>
      <c r="D18" s="217"/>
      <c r="E18" s="217"/>
      <c r="F18" s="217"/>
      <c r="G18" s="218"/>
    </row>
    <row r="19" spans="1:7" ht="24.75" customHeight="1" thickBot="1" x14ac:dyDescent="0.3">
      <c r="A19" s="122" t="s">
        <v>147</v>
      </c>
      <c r="B19" s="195" t="s">
        <v>148</v>
      </c>
      <c r="C19" s="196"/>
      <c r="D19" s="196"/>
      <c r="E19" s="196"/>
      <c r="F19" s="196"/>
      <c r="G19" s="197"/>
    </row>
    <row r="20" spans="1:7" ht="15.75" thickBot="1" x14ac:dyDescent="0.3">
      <c r="A20" s="167" t="s">
        <v>11</v>
      </c>
      <c r="B20" s="168"/>
      <c r="C20" s="168"/>
      <c r="D20" s="168"/>
      <c r="E20" s="168"/>
      <c r="F20" s="168"/>
      <c r="G20" s="169"/>
    </row>
    <row r="21" spans="1:7" ht="15.75" thickBot="1" x14ac:dyDescent="0.3">
      <c r="A21" s="179" t="s">
        <v>150</v>
      </c>
      <c r="B21" s="180"/>
      <c r="C21" s="180"/>
      <c r="D21" s="180"/>
      <c r="E21" s="180"/>
      <c r="F21" s="180"/>
      <c r="G21" s="181"/>
    </row>
    <row r="22" spans="1:7" ht="15" customHeight="1" thickBot="1" x14ac:dyDescent="0.3">
      <c r="A22" s="182" t="s">
        <v>153</v>
      </c>
      <c r="B22" s="183"/>
      <c r="C22" s="183"/>
      <c r="D22" s="183"/>
      <c r="E22" s="183"/>
      <c r="F22" s="184"/>
      <c r="G22" s="43">
        <v>3529.2</v>
      </c>
    </row>
    <row r="23" spans="1:7" ht="15" customHeight="1" thickBot="1" x14ac:dyDescent="0.3">
      <c r="A23" s="185" t="s">
        <v>203</v>
      </c>
      <c r="B23" s="186"/>
      <c r="C23" s="186"/>
      <c r="D23" s="186"/>
      <c r="E23" s="186"/>
      <c r="F23" s="187"/>
      <c r="G23" s="44">
        <v>1195.6400000000001</v>
      </c>
    </row>
    <row r="24" spans="1:7" ht="15.75" thickBot="1" x14ac:dyDescent="0.3">
      <c r="A24" s="185" t="s">
        <v>204</v>
      </c>
      <c r="B24" s="188"/>
      <c r="C24" s="188"/>
      <c r="D24" s="188"/>
      <c r="E24" s="188"/>
      <c r="F24" s="189"/>
      <c r="G24" s="44">
        <v>4009.74</v>
      </c>
    </row>
    <row r="25" spans="1:7" s="15" customFormat="1" ht="15.75" thickBot="1" x14ac:dyDescent="0.3">
      <c r="A25" s="190" t="s">
        <v>151</v>
      </c>
      <c r="B25" s="191"/>
      <c r="C25" s="191"/>
      <c r="D25" s="191"/>
      <c r="E25" s="191"/>
      <c r="F25" s="192"/>
      <c r="G25" s="42">
        <f>SUM(G22:G24)</f>
        <v>8734.58</v>
      </c>
    </row>
    <row r="26" spans="1:7" ht="15.75" thickBot="1" x14ac:dyDescent="0.3">
      <c r="A26" s="39" t="s">
        <v>152</v>
      </c>
      <c r="B26" s="40"/>
      <c r="C26" s="40"/>
      <c r="D26" s="40"/>
      <c r="E26" s="40"/>
      <c r="F26" s="40"/>
      <c r="G26" s="41"/>
    </row>
    <row r="27" spans="1:7" ht="15.75" thickBot="1" x14ac:dyDescent="0.3">
      <c r="A27" s="37" t="s">
        <v>154</v>
      </c>
      <c r="B27" s="38"/>
      <c r="C27" s="38"/>
      <c r="D27" s="38"/>
      <c r="E27" s="38"/>
      <c r="F27" s="38"/>
      <c r="G27" s="45"/>
    </row>
    <row r="28" spans="1:7" ht="15.75" thickBot="1" x14ac:dyDescent="0.3">
      <c r="A28" s="176" t="s">
        <v>155</v>
      </c>
      <c r="B28" s="177"/>
      <c r="C28" s="177"/>
      <c r="D28" s="177"/>
      <c r="E28" s="177"/>
      <c r="F28" s="178"/>
      <c r="G28" s="46">
        <v>1184.77</v>
      </c>
    </row>
    <row r="29" spans="1:7" ht="15.75" thickBot="1" x14ac:dyDescent="0.3">
      <c r="A29" s="39" t="s">
        <v>157</v>
      </c>
      <c r="B29" s="40"/>
      <c r="C29" s="40"/>
      <c r="D29" s="40"/>
      <c r="E29" s="40"/>
      <c r="F29" s="40"/>
      <c r="G29" s="41"/>
    </row>
    <row r="30" spans="1:7" ht="15.75" thickBot="1" x14ac:dyDescent="0.3">
      <c r="A30" s="37" t="s">
        <v>158</v>
      </c>
      <c r="B30" s="38"/>
      <c r="C30" s="38"/>
      <c r="D30" s="38"/>
      <c r="E30" s="38"/>
      <c r="F30" s="38"/>
      <c r="G30" s="44"/>
    </row>
    <row r="31" spans="1:7" ht="15.75" thickBot="1" x14ac:dyDescent="0.3">
      <c r="A31" s="176" t="s">
        <v>156</v>
      </c>
      <c r="B31" s="177"/>
      <c r="C31" s="177"/>
      <c r="D31" s="177"/>
      <c r="E31" s="177"/>
      <c r="F31" s="178"/>
      <c r="G31" s="46">
        <v>175.7</v>
      </c>
    </row>
    <row r="32" spans="1:7" ht="15.75" thickBot="1" x14ac:dyDescent="0.3">
      <c r="A32" s="39" t="s">
        <v>159</v>
      </c>
      <c r="B32" s="40"/>
      <c r="C32" s="40"/>
      <c r="D32" s="40"/>
      <c r="E32" s="40"/>
      <c r="F32" s="40"/>
      <c r="G32" s="41"/>
    </row>
    <row r="33" spans="1:7" s="2" customFormat="1" ht="15.75" thickBot="1" x14ac:dyDescent="0.3">
      <c r="A33" s="37" t="s">
        <v>160</v>
      </c>
      <c r="B33" s="38"/>
      <c r="C33" s="38"/>
      <c r="D33" s="38"/>
      <c r="E33" s="38"/>
      <c r="F33" s="38"/>
      <c r="G33" s="44"/>
    </row>
    <row r="34" spans="1:7" s="2" customFormat="1" ht="15.75" thickBot="1" x14ac:dyDescent="0.3">
      <c r="A34" s="176" t="s">
        <v>161</v>
      </c>
      <c r="B34" s="177"/>
      <c r="C34" s="177"/>
      <c r="D34" s="177"/>
      <c r="E34" s="177"/>
      <c r="F34" s="178"/>
      <c r="G34" s="46">
        <v>5965.66</v>
      </c>
    </row>
    <row r="35" spans="1:7" s="2" customFormat="1" ht="15.75" thickBot="1" x14ac:dyDescent="0.3">
      <c r="A35" s="39" t="s">
        <v>162</v>
      </c>
      <c r="B35" s="40"/>
      <c r="C35" s="40"/>
      <c r="D35" s="40"/>
      <c r="E35" s="40"/>
      <c r="F35" s="40"/>
      <c r="G35" s="41"/>
    </row>
    <row r="36" spans="1:7" s="2" customFormat="1" ht="15.75" thickBot="1" x14ac:dyDescent="0.3">
      <c r="A36" s="37" t="s">
        <v>163</v>
      </c>
      <c r="B36" s="38"/>
      <c r="C36" s="38"/>
      <c r="D36" s="38"/>
      <c r="E36" s="38"/>
      <c r="F36" s="38"/>
      <c r="G36" s="44"/>
    </row>
    <row r="37" spans="1:7" ht="15.75" thickBot="1" x14ac:dyDescent="0.3">
      <c r="A37" s="176" t="s">
        <v>164</v>
      </c>
      <c r="B37" s="177"/>
      <c r="C37" s="177"/>
      <c r="D37" s="177"/>
      <c r="E37" s="177"/>
      <c r="F37" s="178"/>
      <c r="G37" s="46">
        <v>15176.62</v>
      </c>
    </row>
    <row r="38" spans="1:7" s="2" customFormat="1" ht="15.75" thickBot="1" x14ac:dyDescent="0.3">
      <c r="A38" s="39" t="s">
        <v>165</v>
      </c>
      <c r="B38" s="40"/>
      <c r="C38" s="40"/>
      <c r="D38" s="40"/>
      <c r="E38" s="40"/>
      <c r="F38" s="40"/>
      <c r="G38" s="41"/>
    </row>
    <row r="39" spans="1:7" s="2" customFormat="1" ht="15.75" thickBot="1" x14ac:dyDescent="0.3">
      <c r="A39" s="37" t="s">
        <v>166</v>
      </c>
      <c r="B39" s="38"/>
      <c r="C39" s="38"/>
      <c r="D39" s="38"/>
      <c r="E39" s="38"/>
      <c r="F39" s="38"/>
      <c r="G39" s="44"/>
    </row>
    <row r="40" spans="1:7" ht="15.75" thickBot="1" x14ac:dyDescent="0.3">
      <c r="A40" s="176" t="s">
        <v>167</v>
      </c>
      <c r="B40" s="177"/>
      <c r="C40" s="177"/>
      <c r="D40" s="177"/>
      <c r="E40" s="177"/>
      <c r="F40" s="178"/>
      <c r="G40" s="46">
        <v>5526</v>
      </c>
    </row>
    <row r="41" spans="1:7" ht="15.75" thickBot="1" x14ac:dyDescent="0.3">
      <c r="A41" s="39" t="s">
        <v>168</v>
      </c>
      <c r="B41" s="40"/>
      <c r="C41" s="40"/>
      <c r="D41" s="40"/>
      <c r="E41" s="40"/>
      <c r="F41" s="40"/>
      <c r="G41" s="41"/>
    </row>
    <row r="42" spans="1:7" ht="15.75" thickBot="1" x14ac:dyDescent="0.3">
      <c r="A42" s="37" t="s">
        <v>169</v>
      </c>
      <c r="B42" s="38"/>
      <c r="C42" s="38"/>
      <c r="D42" s="38"/>
      <c r="E42" s="38"/>
      <c r="F42" s="38"/>
      <c r="G42" s="44"/>
    </row>
    <row r="43" spans="1:7" ht="15.75" thickBot="1" x14ac:dyDescent="0.3">
      <c r="A43" s="176" t="s">
        <v>170</v>
      </c>
      <c r="B43" s="177"/>
      <c r="C43" s="177"/>
      <c r="D43" s="177"/>
      <c r="E43" s="177"/>
      <c r="F43" s="178"/>
      <c r="G43" s="46">
        <v>26255.360000000001</v>
      </c>
    </row>
    <row r="44" spans="1:7" ht="15.75" thickBot="1" x14ac:dyDescent="0.3">
      <c r="A44" s="170" t="s">
        <v>171</v>
      </c>
      <c r="B44" s="171"/>
      <c r="C44" s="171"/>
      <c r="D44" s="171"/>
      <c r="E44" s="171"/>
      <c r="F44" s="172"/>
      <c r="G44" s="145">
        <f>G25+G28+G31+G34+G37+G40+G43</f>
        <v>63018.69</v>
      </c>
    </row>
    <row r="45" spans="1:7" ht="15.75" thickBot="1" x14ac:dyDescent="0.3">
      <c r="A45" s="167" t="s">
        <v>172</v>
      </c>
      <c r="B45" s="168"/>
      <c r="C45" s="168"/>
      <c r="D45" s="168"/>
      <c r="E45" s="168"/>
      <c r="F45" s="168"/>
      <c r="G45" s="169"/>
    </row>
    <row r="46" spans="1:7" ht="15.75" thickBot="1" x14ac:dyDescent="0.3">
      <c r="A46" s="39" t="s">
        <v>173</v>
      </c>
      <c r="B46" s="40"/>
      <c r="C46" s="40"/>
      <c r="D46" s="40"/>
      <c r="E46" s="40"/>
      <c r="F46" s="40"/>
      <c r="G46" s="41"/>
    </row>
    <row r="47" spans="1:7" ht="15.75" thickBot="1" x14ac:dyDescent="0.3">
      <c r="A47" s="37" t="s">
        <v>174</v>
      </c>
      <c r="B47" s="38"/>
      <c r="C47" s="38"/>
      <c r="D47" s="38"/>
      <c r="E47" s="38"/>
      <c r="F47" s="38"/>
      <c r="G47" s="45"/>
    </row>
    <row r="48" spans="1:7" ht="15.75" thickBot="1" x14ac:dyDescent="0.3">
      <c r="A48" s="173" t="s">
        <v>175</v>
      </c>
      <c r="B48" s="174"/>
      <c r="C48" s="174"/>
      <c r="D48" s="174"/>
      <c r="E48" s="174"/>
      <c r="F48" s="175"/>
      <c r="G48" s="47">
        <v>12988.07</v>
      </c>
    </row>
    <row r="49" spans="1:7" ht="15.75" thickBot="1" x14ac:dyDescent="0.3">
      <c r="A49" s="167" t="s">
        <v>176</v>
      </c>
      <c r="B49" s="168"/>
      <c r="C49" s="168"/>
      <c r="D49" s="168"/>
      <c r="E49" s="168"/>
      <c r="F49" s="168"/>
      <c r="G49" s="169"/>
    </row>
    <row r="50" spans="1:7" ht="15.75" thickBot="1" x14ac:dyDescent="0.3">
      <c r="A50" s="48" t="s">
        <v>177</v>
      </c>
      <c r="B50" s="49"/>
      <c r="C50" s="49"/>
      <c r="D50" s="49"/>
      <c r="E50" s="49"/>
      <c r="F50" s="50"/>
      <c r="G50" s="51"/>
    </row>
    <row r="51" spans="1:7" ht="15.75" thickBot="1" x14ac:dyDescent="0.3">
      <c r="A51" s="54" t="s">
        <v>178</v>
      </c>
      <c r="B51" s="52"/>
      <c r="C51" s="52"/>
      <c r="D51" s="52"/>
      <c r="E51" s="52"/>
      <c r="F51" s="53"/>
      <c r="G51" s="139">
        <v>8977.16</v>
      </c>
    </row>
    <row r="54" spans="1:7" x14ac:dyDescent="0.25">
      <c r="B54" s="30"/>
    </row>
    <row r="55" spans="1:7" x14ac:dyDescent="0.25">
      <c r="B55" s="30"/>
    </row>
    <row r="60" spans="1:7" x14ac:dyDescent="0.25">
      <c r="C60" s="31" t="s">
        <v>141</v>
      </c>
    </row>
    <row r="61" spans="1:7" x14ac:dyDescent="0.25">
      <c r="C61" s="31" t="s">
        <v>142</v>
      </c>
    </row>
    <row r="62" spans="1:7" x14ac:dyDescent="0.25">
      <c r="C62" s="32" t="s">
        <v>143</v>
      </c>
    </row>
    <row r="63" spans="1:7" x14ac:dyDescent="0.25">
      <c r="C63" s="32" t="s">
        <v>144</v>
      </c>
    </row>
  </sheetData>
  <sheetProtection algorithmName="SHA-512" hashValue="C0Z1fY9IRyqwssqJxCH0OxZAPlEb+W/dAQL6cbXkZ6dcSauawVkbYVBEW8bCc71QJNhqV0XCLhO+1EtU1nHpoQ==" saltValue="+7ko7JhzTNoXFmhIgJUcrA==" spinCount="100000" sheet="1" objects="1" scenarios="1" formatCells="0" formatColumns="0" formatRows="0" insertColumns="0" insertRows="0" insertHyperlinks="0" deleteColumns="0" deleteRows="0"/>
  <mergeCells count="29">
    <mergeCell ref="B3:G3"/>
    <mergeCell ref="A5:G5"/>
    <mergeCell ref="B19:G19"/>
    <mergeCell ref="A20:G20"/>
    <mergeCell ref="A7:G9"/>
    <mergeCell ref="A10:G10"/>
    <mergeCell ref="A11:G11"/>
    <mergeCell ref="A12:G12"/>
    <mergeCell ref="B15:G15"/>
    <mergeCell ref="B16:G16"/>
    <mergeCell ref="B17:G17"/>
    <mergeCell ref="B18:G18"/>
    <mergeCell ref="B13:G13"/>
    <mergeCell ref="B14:G14"/>
    <mergeCell ref="A21:G21"/>
    <mergeCell ref="A22:F22"/>
    <mergeCell ref="A23:F23"/>
    <mergeCell ref="A24:F24"/>
    <mergeCell ref="A25:F25"/>
    <mergeCell ref="A34:F34"/>
    <mergeCell ref="A37:F37"/>
    <mergeCell ref="A40:F40"/>
    <mergeCell ref="A28:F28"/>
    <mergeCell ref="A31:F31"/>
    <mergeCell ref="A49:G49"/>
    <mergeCell ref="A44:F44"/>
    <mergeCell ref="A45:G45"/>
    <mergeCell ref="A48:F48"/>
    <mergeCell ref="A43:F43"/>
  </mergeCells>
  <hyperlinks>
    <hyperlink ref="B19" r:id="rId1"/>
  </hyperlinks>
  <pageMargins left="0.511811024" right="0.511811024" top="0.78740157499999996" bottom="0.78740157499999996" header="0.31496062000000002" footer="0.31496062000000002"/>
  <pageSetup paperSize="9" orientation="portrait" verticalDpi="4294967294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4"/>
  <sheetViews>
    <sheetView topLeftCell="A145" zoomScaleNormal="100" workbookViewId="0">
      <selection activeCell="A51" sqref="A51:B51"/>
    </sheetView>
  </sheetViews>
  <sheetFormatPr defaultRowHeight="15" x14ac:dyDescent="0.25"/>
  <cols>
    <col min="1" max="1" width="12.7109375" customWidth="1"/>
    <col min="2" max="2" width="39.85546875" customWidth="1"/>
    <col min="3" max="3" width="22" customWidth="1"/>
    <col min="4" max="4" width="12.140625" customWidth="1"/>
    <col min="5" max="5" width="15.140625" customWidth="1"/>
    <col min="6" max="6" width="21.85546875" customWidth="1"/>
    <col min="7" max="7" width="16.7109375" customWidth="1"/>
    <col min="10" max="10" width="22.5703125" customWidth="1"/>
    <col min="11" max="11" width="9.140625" style="2"/>
    <col min="12" max="12" width="24.5703125" style="2" customWidth="1"/>
    <col min="13" max="13" width="20.5703125" style="2" customWidth="1"/>
    <col min="14" max="15" width="9.140625" style="2"/>
  </cols>
  <sheetData>
    <row r="1" spans="1:12" x14ac:dyDescent="0.25">
      <c r="A1" s="4"/>
      <c r="B1" s="4"/>
      <c r="C1" s="4"/>
      <c r="D1" s="4"/>
      <c r="E1" s="4"/>
      <c r="F1" s="4"/>
      <c r="G1" s="4"/>
    </row>
    <row r="2" spans="1:12" x14ac:dyDescent="0.25">
      <c r="A2" s="4"/>
      <c r="B2" s="4"/>
      <c r="C2" s="4"/>
      <c r="D2" s="4"/>
      <c r="E2" s="4"/>
      <c r="F2" s="4"/>
      <c r="G2" s="4"/>
    </row>
    <row r="3" spans="1:12" x14ac:dyDescent="0.25">
      <c r="A3" s="4"/>
      <c r="B3" s="243" t="s">
        <v>206</v>
      </c>
      <c r="C3" s="243"/>
      <c r="D3" s="243"/>
      <c r="E3" s="243"/>
      <c r="F3" s="243"/>
      <c r="G3" s="243"/>
    </row>
    <row r="4" spans="1:12" x14ac:dyDescent="0.25">
      <c r="A4" s="4"/>
      <c r="B4" s="4"/>
      <c r="C4" s="4"/>
      <c r="D4" s="4"/>
      <c r="E4" s="4"/>
      <c r="F4" s="4"/>
      <c r="G4" s="4"/>
    </row>
    <row r="5" spans="1:12" ht="15.75" thickBot="1" x14ac:dyDescent="0.3">
      <c r="A5" s="4"/>
      <c r="B5" s="4"/>
      <c r="C5" s="4"/>
      <c r="D5" s="4"/>
      <c r="E5" s="4"/>
      <c r="F5" s="4"/>
      <c r="G5" s="4"/>
    </row>
    <row r="6" spans="1:12" ht="15.75" thickBot="1" x14ac:dyDescent="0.3">
      <c r="A6" s="235" t="s">
        <v>136</v>
      </c>
      <c r="B6" s="236"/>
      <c r="C6" s="236"/>
      <c r="D6" s="236"/>
      <c r="E6" s="236"/>
      <c r="F6" s="236"/>
      <c r="G6" s="237"/>
    </row>
    <row r="7" spans="1:12" ht="15.75" thickBot="1" x14ac:dyDescent="0.3">
      <c r="A7" s="4"/>
      <c r="B7" s="4"/>
      <c r="C7" s="4"/>
      <c r="D7" s="4"/>
      <c r="E7" s="4"/>
      <c r="F7" s="4"/>
      <c r="G7" s="4"/>
    </row>
    <row r="8" spans="1:12" ht="15.75" thickBot="1" x14ac:dyDescent="0.3">
      <c r="A8" s="55" t="s">
        <v>133</v>
      </c>
      <c r="B8" s="244" t="s">
        <v>13</v>
      </c>
      <c r="C8" s="245"/>
      <c r="D8" s="55" t="s">
        <v>134</v>
      </c>
      <c r="E8" s="55" t="s">
        <v>187</v>
      </c>
      <c r="F8" s="126" t="s">
        <v>188</v>
      </c>
      <c r="G8" s="126" t="s">
        <v>189</v>
      </c>
    </row>
    <row r="9" spans="1:12" x14ac:dyDescent="0.25">
      <c r="A9" s="124" t="s">
        <v>196</v>
      </c>
      <c r="B9" s="246" t="s">
        <v>194</v>
      </c>
      <c r="C9" s="246"/>
      <c r="D9" s="128" t="s">
        <v>182</v>
      </c>
      <c r="E9" s="129">
        <v>10826.67</v>
      </c>
      <c r="F9" s="130">
        <v>11353.6</v>
      </c>
      <c r="G9" s="165">
        <v>45414.51</v>
      </c>
    </row>
    <row r="10" spans="1:12" ht="15.75" thickBot="1" x14ac:dyDescent="0.3">
      <c r="A10" s="125"/>
      <c r="B10" s="134" t="s">
        <v>179</v>
      </c>
      <c r="C10" s="135"/>
      <c r="D10" s="127"/>
      <c r="E10" s="127"/>
      <c r="F10" s="127"/>
      <c r="G10" s="127"/>
    </row>
    <row r="11" spans="1:12" x14ac:dyDescent="0.25">
      <c r="A11" s="125"/>
      <c r="B11" s="3" t="s">
        <v>180</v>
      </c>
      <c r="C11" s="16"/>
      <c r="D11" s="132" t="s">
        <v>183</v>
      </c>
      <c r="E11" s="140"/>
      <c r="F11" s="127"/>
      <c r="G11" s="127"/>
      <c r="K11" s="136"/>
      <c r="L11" s="137"/>
    </row>
    <row r="12" spans="1:12" ht="15.75" thickBot="1" x14ac:dyDescent="0.3">
      <c r="A12" s="125"/>
      <c r="B12" s="3" t="s">
        <v>181</v>
      </c>
      <c r="C12" s="16"/>
      <c r="D12" s="133">
        <v>0.96</v>
      </c>
      <c r="E12" s="127"/>
      <c r="F12" s="127"/>
      <c r="G12" s="127"/>
    </row>
    <row r="13" spans="1:12" ht="15.75" thickBot="1" x14ac:dyDescent="0.3">
      <c r="A13" s="115"/>
      <c r="B13" s="123" t="s">
        <v>186</v>
      </c>
      <c r="C13" s="123"/>
      <c r="D13" s="115"/>
      <c r="E13" s="115"/>
      <c r="F13" s="115"/>
      <c r="G13" s="115"/>
    </row>
    <row r="14" spans="1:12" ht="15.75" thickBot="1" x14ac:dyDescent="0.3">
      <c r="A14" s="4"/>
      <c r="B14" s="4"/>
      <c r="C14" s="4"/>
      <c r="D14" s="4"/>
      <c r="E14" s="4"/>
      <c r="F14" s="4"/>
      <c r="G14" s="4"/>
    </row>
    <row r="15" spans="1:12" ht="15.75" thickBot="1" x14ac:dyDescent="0.3">
      <c r="A15" s="235" t="s">
        <v>11</v>
      </c>
      <c r="B15" s="236"/>
      <c r="C15" s="236"/>
      <c r="D15" s="236"/>
      <c r="E15" s="236"/>
      <c r="F15" s="236"/>
      <c r="G15" s="237"/>
    </row>
    <row r="16" spans="1:12" ht="15.75" thickBot="1" x14ac:dyDescent="0.3">
      <c r="A16" s="4"/>
      <c r="B16" s="4"/>
      <c r="C16" s="4"/>
      <c r="D16" s="4"/>
      <c r="E16" s="4"/>
      <c r="F16" s="4"/>
      <c r="G16" s="4"/>
    </row>
    <row r="17" spans="1:15" ht="15.75" thickBot="1" x14ac:dyDescent="0.3">
      <c r="A17" s="233" t="s">
        <v>12</v>
      </c>
      <c r="B17" s="234"/>
      <c r="C17" s="234"/>
      <c r="D17" s="234"/>
      <c r="E17" s="234"/>
      <c r="F17" s="234"/>
      <c r="G17" s="78"/>
    </row>
    <row r="18" spans="1:15" ht="15.75" thickBot="1" x14ac:dyDescent="0.3">
      <c r="A18" s="10"/>
      <c r="B18" s="10"/>
      <c r="C18" s="10"/>
      <c r="D18" s="10"/>
      <c r="E18" s="10"/>
      <c r="F18" s="10"/>
      <c r="G18" s="4"/>
    </row>
    <row r="19" spans="1:15" ht="15.75" thickBot="1" x14ac:dyDescent="0.3">
      <c r="A19" s="10" t="s">
        <v>28</v>
      </c>
      <c r="B19" s="14"/>
      <c r="C19" s="120" t="s">
        <v>190</v>
      </c>
      <c r="D19" s="121">
        <v>10826.67</v>
      </c>
      <c r="E19" s="10"/>
      <c r="F19" s="138" t="s">
        <v>191</v>
      </c>
      <c r="G19" s="141">
        <v>21653.34</v>
      </c>
    </row>
    <row r="20" spans="1:15" ht="15.75" thickBot="1" x14ac:dyDescent="0.3">
      <c r="A20" s="4"/>
      <c r="B20" s="4"/>
      <c r="C20" s="4"/>
      <c r="D20" s="4"/>
      <c r="E20" s="4"/>
      <c r="F20" s="4"/>
      <c r="G20" s="4"/>
    </row>
    <row r="21" spans="1:15" ht="15.75" thickBot="1" x14ac:dyDescent="0.3">
      <c r="A21" s="55" t="s">
        <v>16</v>
      </c>
      <c r="B21" s="56" t="s">
        <v>13</v>
      </c>
      <c r="C21" s="55" t="s">
        <v>114</v>
      </c>
      <c r="D21" s="56" t="s">
        <v>14</v>
      </c>
      <c r="E21" s="55" t="s">
        <v>135</v>
      </c>
      <c r="F21" s="55" t="s">
        <v>113</v>
      </c>
      <c r="G21" s="62" t="s">
        <v>15</v>
      </c>
      <c r="H21" s="1"/>
    </row>
    <row r="22" spans="1:15" ht="15.75" thickBot="1" x14ac:dyDescent="0.3">
      <c r="A22" s="36" t="s">
        <v>17</v>
      </c>
      <c r="B22" s="57" t="s">
        <v>20</v>
      </c>
      <c r="C22" s="59" t="s">
        <v>18</v>
      </c>
      <c r="D22" s="60" t="s">
        <v>90</v>
      </c>
      <c r="E22" s="61">
        <v>30</v>
      </c>
      <c r="F22" s="64">
        <v>19.399999999999999</v>
      </c>
      <c r="G22" s="63">
        <f>E22*F22</f>
        <v>582</v>
      </c>
    </row>
    <row r="23" spans="1:15" ht="15.75" thickBot="1" x14ac:dyDescent="0.3">
      <c r="A23" s="36" t="s">
        <v>17</v>
      </c>
      <c r="B23" s="57" t="s">
        <v>19</v>
      </c>
      <c r="C23" s="59" t="s">
        <v>18</v>
      </c>
      <c r="D23" s="60" t="s">
        <v>90</v>
      </c>
      <c r="E23" s="61">
        <v>30</v>
      </c>
      <c r="F23" s="64">
        <v>16.8</v>
      </c>
      <c r="G23" s="63">
        <f t="shared" ref="G23:G25" si="0">E23*F23</f>
        <v>504</v>
      </c>
    </row>
    <row r="24" spans="1:15" ht="15.75" thickBot="1" x14ac:dyDescent="0.3">
      <c r="A24" s="36" t="s">
        <v>17</v>
      </c>
      <c r="B24" s="57" t="s">
        <v>23</v>
      </c>
      <c r="C24" s="59" t="s">
        <v>21</v>
      </c>
      <c r="D24" s="60" t="s">
        <v>89</v>
      </c>
      <c r="E24" s="61">
        <v>50</v>
      </c>
      <c r="F24" s="64">
        <v>27.3</v>
      </c>
      <c r="G24" s="63">
        <f t="shared" si="0"/>
        <v>1365</v>
      </c>
    </row>
    <row r="25" spans="1:15" ht="15.75" thickBot="1" x14ac:dyDescent="0.3">
      <c r="A25" s="36" t="s">
        <v>17</v>
      </c>
      <c r="B25" s="57" t="s">
        <v>24</v>
      </c>
      <c r="C25" s="59" t="s">
        <v>91</v>
      </c>
      <c r="D25" s="60" t="s">
        <v>22</v>
      </c>
      <c r="E25" s="61">
        <v>1</v>
      </c>
      <c r="F25" s="64">
        <v>67.900000000000006</v>
      </c>
      <c r="G25" s="63">
        <f t="shared" si="0"/>
        <v>67.900000000000006</v>
      </c>
    </row>
    <row r="26" spans="1:15" s="4" customFormat="1" ht="12" thickBot="1" x14ac:dyDescent="0.25">
      <c r="A26" s="282" t="s">
        <v>25</v>
      </c>
      <c r="B26" s="283"/>
      <c r="C26" s="283"/>
      <c r="D26" s="283"/>
      <c r="E26" s="283"/>
      <c r="F26" s="283"/>
      <c r="G26" s="107">
        <f>SUM(G22:G25)</f>
        <v>2518.9</v>
      </c>
      <c r="K26" s="3"/>
      <c r="L26" s="3"/>
      <c r="M26" s="3"/>
      <c r="N26" s="3"/>
      <c r="O26" s="3"/>
    </row>
    <row r="27" spans="1:15" s="4" customFormat="1" ht="11.25" x14ac:dyDescent="0.2">
      <c r="A27" s="5"/>
      <c r="B27" s="6"/>
      <c r="C27" s="6"/>
      <c r="D27" s="6"/>
      <c r="E27" s="6"/>
      <c r="F27" s="6"/>
      <c r="G27" s="7"/>
      <c r="K27" s="3"/>
      <c r="L27" s="3"/>
      <c r="M27" s="3"/>
      <c r="N27" s="3"/>
      <c r="O27" s="3"/>
    </row>
    <row r="28" spans="1:15" s="4" customFormat="1" ht="11.25" x14ac:dyDescent="0.2">
      <c r="A28" s="5" t="s">
        <v>27</v>
      </c>
      <c r="B28" s="17"/>
      <c r="C28" s="6"/>
      <c r="D28" s="6"/>
      <c r="E28" s="6"/>
      <c r="F28" s="6"/>
      <c r="G28" s="7"/>
      <c r="K28" s="3"/>
      <c r="L28" s="3"/>
      <c r="M28" s="3"/>
      <c r="N28" s="3"/>
      <c r="O28" s="3"/>
    </row>
    <row r="29" spans="1:15" s="4" customFormat="1" ht="12" thickBot="1" x14ac:dyDescent="0.25">
      <c r="A29" s="5"/>
      <c r="B29" s="6"/>
      <c r="C29" s="6"/>
      <c r="D29" s="6"/>
      <c r="E29" s="6"/>
      <c r="F29" s="6"/>
      <c r="G29" s="7"/>
      <c r="K29" s="3"/>
      <c r="L29" s="3"/>
      <c r="M29" s="3"/>
      <c r="N29" s="3"/>
      <c r="O29" s="3"/>
    </row>
    <row r="30" spans="1:15" s="4" customFormat="1" ht="12" thickBot="1" x14ac:dyDescent="0.25">
      <c r="A30" s="113" t="s">
        <v>16</v>
      </c>
      <c r="B30" s="67" t="s">
        <v>13</v>
      </c>
      <c r="C30" s="104" t="s">
        <v>114</v>
      </c>
      <c r="D30" s="67" t="s">
        <v>14</v>
      </c>
      <c r="E30" s="67" t="s">
        <v>135</v>
      </c>
      <c r="F30" s="104" t="s">
        <v>113</v>
      </c>
      <c r="G30" s="67" t="s">
        <v>15</v>
      </c>
      <c r="K30" s="3"/>
      <c r="L30" s="3"/>
      <c r="M30" s="3"/>
      <c r="N30" s="3"/>
      <c r="O30" s="3"/>
    </row>
    <row r="31" spans="1:15" s="4" customFormat="1" ht="12" thickBot="1" x14ac:dyDescent="0.25">
      <c r="A31" s="118" t="s">
        <v>26</v>
      </c>
      <c r="B31" s="36" t="s">
        <v>185</v>
      </c>
      <c r="C31" s="60" t="s">
        <v>184</v>
      </c>
      <c r="D31" s="59" t="s">
        <v>22</v>
      </c>
      <c r="E31" s="59">
        <v>3</v>
      </c>
      <c r="F31" s="87">
        <v>298.91000000000003</v>
      </c>
      <c r="G31" s="64">
        <f>E31*F31</f>
        <v>896.73</v>
      </c>
      <c r="K31" s="3"/>
      <c r="L31" s="3"/>
      <c r="M31" s="3"/>
      <c r="N31" s="3"/>
      <c r="O31" s="3"/>
    </row>
    <row r="32" spans="1:15" s="4" customFormat="1" ht="12" thickBot="1" x14ac:dyDescent="0.25">
      <c r="A32" s="282" t="s">
        <v>25</v>
      </c>
      <c r="B32" s="283"/>
      <c r="C32" s="283"/>
      <c r="D32" s="283"/>
      <c r="E32" s="283"/>
      <c r="F32" s="283"/>
      <c r="G32" s="131">
        <f>SUM(G31:G31)</f>
        <v>896.73</v>
      </c>
      <c r="K32" s="3"/>
      <c r="L32" s="3"/>
      <c r="M32" s="3"/>
      <c r="N32" s="3"/>
      <c r="O32" s="3"/>
    </row>
    <row r="33" spans="1:7" x14ac:dyDescent="0.25">
      <c r="A33" s="3"/>
      <c r="B33" s="3"/>
      <c r="C33" s="8"/>
      <c r="D33" s="8"/>
      <c r="E33" s="8"/>
      <c r="F33" s="9"/>
      <c r="G33" s="9"/>
    </row>
    <row r="34" spans="1:7" x14ac:dyDescent="0.25">
      <c r="A34" s="10" t="s">
        <v>29</v>
      </c>
      <c r="B34" s="14"/>
      <c r="C34" s="10"/>
      <c r="D34" s="10"/>
      <c r="E34" s="10"/>
      <c r="F34" s="10"/>
      <c r="G34" s="4"/>
    </row>
    <row r="35" spans="1:7" ht="15.75" thickBot="1" x14ac:dyDescent="0.3">
      <c r="A35" s="4"/>
      <c r="B35" s="4"/>
      <c r="C35" s="4"/>
      <c r="D35" s="4"/>
      <c r="E35" s="4"/>
      <c r="F35" s="4"/>
      <c r="G35" s="4"/>
    </row>
    <row r="36" spans="1:7" ht="15.75" thickBot="1" x14ac:dyDescent="0.3">
      <c r="A36" s="113" t="s">
        <v>16</v>
      </c>
      <c r="B36" s="67" t="s">
        <v>13</v>
      </c>
      <c r="C36" s="102" t="s">
        <v>114</v>
      </c>
      <c r="D36" s="66" t="s">
        <v>14</v>
      </c>
      <c r="E36" s="67" t="s">
        <v>135</v>
      </c>
      <c r="F36" s="67" t="s">
        <v>113</v>
      </c>
      <c r="G36" s="67" t="s">
        <v>15</v>
      </c>
    </row>
    <row r="37" spans="1:7" ht="15.75" thickBot="1" x14ac:dyDescent="0.3">
      <c r="A37" s="114" t="s">
        <v>30</v>
      </c>
      <c r="B37" s="119" t="s">
        <v>33</v>
      </c>
      <c r="C37" s="103" t="s">
        <v>92</v>
      </c>
      <c r="D37" s="116" t="s">
        <v>34</v>
      </c>
      <c r="E37" s="72">
        <v>50</v>
      </c>
      <c r="F37" s="106">
        <v>33.4</v>
      </c>
      <c r="G37" s="106">
        <f>E37*F37</f>
        <v>1670</v>
      </c>
    </row>
    <row r="38" spans="1:7" ht="15.75" thickBot="1" x14ac:dyDescent="0.3">
      <c r="A38" s="118" t="s">
        <v>30</v>
      </c>
      <c r="B38" s="36" t="s">
        <v>31</v>
      </c>
      <c r="C38" s="58" t="s">
        <v>35</v>
      </c>
      <c r="D38" s="109" t="s">
        <v>36</v>
      </c>
      <c r="E38" s="59">
        <v>4</v>
      </c>
      <c r="F38" s="64">
        <v>47.29</v>
      </c>
      <c r="G38" s="64">
        <f t="shared" ref="G38:G40" si="1">E38*F38</f>
        <v>189.16</v>
      </c>
    </row>
    <row r="39" spans="1:7" ht="15.75" thickBot="1" x14ac:dyDescent="0.3">
      <c r="A39" s="118" t="s">
        <v>30</v>
      </c>
      <c r="B39" s="36" t="s">
        <v>38</v>
      </c>
      <c r="C39" s="58" t="s">
        <v>37</v>
      </c>
      <c r="D39" s="109" t="s">
        <v>39</v>
      </c>
      <c r="E39" s="59">
        <v>15</v>
      </c>
      <c r="F39" s="64">
        <v>7.6</v>
      </c>
      <c r="G39" s="64">
        <f t="shared" si="1"/>
        <v>114</v>
      </c>
    </row>
    <row r="40" spans="1:7" ht="15.75" thickBot="1" x14ac:dyDescent="0.3">
      <c r="A40" s="114" t="s">
        <v>30</v>
      </c>
      <c r="B40" s="115" t="s">
        <v>32</v>
      </c>
      <c r="C40" s="103" t="s">
        <v>37</v>
      </c>
      <c r="D40" s="116" t="s">
        <v>39</v>
      </c>
      <c r="E40" s="72">
        <v>70</v>
      </c>
      <c r="F40" s="117">
        <v>7.1</v>
      </c>
      <c r="G40" s="106">
        <f t="shared" si="1"/>
        <v>497</v>
      </c>
    </row>
    <row r="41" spans="1:7" ht="15.75" thickBot="1" x14ac:dyDescent="0.3">
      <c r="A41" s="280" t="s">
        <v>25</v>
      </c>
      <c r="B41" s="281"/>
      <c r="C41" s="281"/>
      <c r="D41" s="281"/>
      <c r="E41" s="281"/>
      <c r="F41" s="281"/>
      <c r="G41" s="107">
        <f>SUM(G37:G40)</f>
        <v>2470.16</v>
      </c>
    </row>
    <row r="42" spans="1:7" ht="15.75" thickBot="1" x14ac:dyDescent="0.3"/>
    <row r="43" spans="1:7" ht="15.75" thickBot="1" x14ac:dyDescent="0.3">
      <c r="A43" s="39" t="s">
        <v>129</v>
      </c>
      <c r="B43" s="112"/>
      <c r="C43" s="112"/>
      <c r="D43" s="112"/>
      <c r="E43" s="112"/>
      <c r="F43" s="112"/>
      <c r="G43" s="95">
        <f>G26+G32+G41</f>
        <v>5885.79</v>
      </c>
    </row>
    <row r="44" spans="1:7" ht="15.75" thickBot="1" x14ac:dyDescent="0.3"/>
    <row r="45" spans="1:7" ht="15.75" thickBot="1" x14ac:dyDescent="0.3">
      <c r="A45" s="233" t="s">
        <v>40</v>
      </c>
      <c r="B45" s="234"/>
      <c r="C45" s="234"/>
      <c r="D45" s="234"/>
      <c r="E45" s="234"/>
      <c r="F45" s="234"/>
      <c r="G45" s="78"/>
    </row>
    <row r="46" spans="1:7" ht="15.75" thickBot="1" x14ac:dyDescent="0.3"/>
    <row r="47" spans="1:7" x14ac:dyDescent="0.25">
      <c r="A47" s="286" t="s">
        <v>13</v>
      </c>
      <c r="B47" s="287"/>
      <c r="C47" s="65" t="s">
        <v>41</v>
      </c>
      <c r="D47" s="110" t="s">
        <v>14</v>
      </c>
      <c r="E47" s="65" t="s">
        <v>135</v>
      </c>
      <c r="F47" s="110" t="s">
        <v>113</v>
      </c>
      <c r="G47" s="65" t="s">
        <v>15</v>
      </c>
    </row>
    <row r="48" spans="1:7" ht="15.75" thickBot="1" x14ac:dyDescent="0.3">
      <c r="A48" s="288" t="s">
        <v>44</v>
      </c>
      <c r="B48" s="289"/>
      <c r="C48" s="111" t="s">
        <v>43</v>
      </c>
      <c r="D48" s="84" t="s">
        <v>42</v>
      </c>
      <c r="E48" s="111">
        <v>1</v>
      </c>
      <c r="F48" s="85">
        <f>51.58/36</f>
        <v>1.4327777777777777</v>
      </c>
      <c r="G48" s="108">
        <f>E48*F48</f>
        <v>1.4327777777777777</v>
      </c>
    </row>
    <row r="49" spans="1:9" ht="15.75" thickBot="1" x14ac:dyDescent="0.3">
      <c r="A49" s="247" t="s">
        <v>46</v>
      </c>
      <c r="B49" s="264"/>
      <c r="C49" s="59" t="s">
        <v>43</v>
      </c>
      <c r="D49" s="60" t="s">
        <v>42</v>
      </c>
      <c r="E49" s="59">
        <v>1</v>
      </c>
      <c r="F49" s="87">
        <f>345.58/35</f>
        <v>9.8737142857142857</v>
      </c>
      <c r="G49" s="64">
        <f t="shared" ref="G49:G51" si="2">E49*F49</f>
        <v>9.8737142857142857</v>
      </c>
    </row>
    <row r="50" spans="1:9" ht="15.75" thickBot="1" x14ac:dyDescent="0.3">
      <c r="A50" s="247" t="s">
        <v>45</v>
      </c>
      <c r="B50" s="264"/>
      <c r="C50" s="59" t="s">
        <v>43</v>
      </c>
      <c r="D50" s="60" t="s">
        <v>42</v>
      </c>
      <c r="E50" s="72">
        <v>1</v>
      </c>
      <c r="F50" s="87">
        <f>2511.85/36</f>
        <v>69.773611111111109</v>
      </c>
      <c r="G50" s="64">
        <f t="shared" si="2"/>
        <v>69.773611111111109</v>
      </c>
    </row>
    <row r="51" spans="1:9" ht="15" customHeight="1" thickBot="1" x14ac:dyDescent="0.3">
      <c r="A51" s="284" t="s">
        <v>47</v>
      </c>
      <c r="B51" s="285"/>
      <c r="C51" s="73" t="s">
        <v>43</v>
      </c>
      <c r="D51" s="92" t="s">
        <v>42</v>
      </c>
      <c r="E51" s="59">
        <v>1</v>
      </c>
      <c r="F51" s="93">
        <f>11298.4/36</f>
        <v>313.84444444444443</v>
      </c>
      <c r="G51" s="64">
        <f t="shared" si="2"/>
        <v>313.84444444444443</v>
      </c>
    </row>
    <row r="52" spans="1:9" ht="15" customHeight="1" thickBot="1" x14ac:dyDescent="0.3">
      <c r="A52" s="282" t="s">
        <v>25</v>
      </c>
      <c r="B52" s="283"/>
      <c r="C52" s="283"/>
      <c r="D52" s="283"/>
      <c r="E52" s="283"/>
      <c r="F52" s="283"/>
      <c r="G52" s="131">
        <f>SUM(G48:G51)</f>
        <v>394.92454761904759</v>
      </c>
    </row>
    <row r="53" spans="1:9" ht="15.75" thickBot="1" x14ac:dyDescent="0.3"/>
    <row r="54" spans="1:9" ht="15.75" thickBot="1" x14ac:dyDescent="0.3">
      <c r="A54" s="39" t="s">
        <v>130</v>
      </c>
      <c r="B54" s="94"/>
      <c r="C54" s="94"/>
      <c r="D54" s="94"/>
      <c r="E54" s="94"/>
      <c r="F54" s="94"/>
      <c r="G54" s="95">
        <f>G52</f>
        <v>394.92454761904759</v>
      </c>
    </row>
    <row r="55" spans="1:9" ht="15.75" thickBot="1" x14ac:dyDescent="0.3">
      <c r="I55" s="13" t="s">
        <v>48</v>
      </c>
    </row>
    <row r="56" spans="1:9" ht="15.75" thickBot="1" x14ac:dyDescent="0.3">
      <c r="A56" s="233" t="s">
        <v>49</v>
      </c>
      <c r="B56" s="234"/>
      <c r="C56" s="234"/>
      <c r="D56" s="234"/>
      <c r="E56" s="234"/>
      <c r="F56" s="234"/>
      <c r="G56" s="78"/>
    </row>
    <row r="57" spans="1:9" ht="15.75" thickBot="1" x14ac:dyDescent="0.3"/>
    <row r="58" spans="1:9" ht="15.75" thickBot="1" x14ac:dyDescent="0.3">
      <c r="A58" s="235" t="s">
        <v>13</v>
      </c>
      <c r="B58" s="237"/>
      <c r="C58" s="104" t="s">
        <v>41</v>
      </c>
      <c r="D58" s="67" t="s">
        <v>14</v>
      </c>
      <c r="E58" s="104" t="s">
        <v>135</v>
      </c>
      <c r="F58" s="67" t="s">
        <v>113</v>
      </c>
      <c r="G58" s="105" t="s">
        <v>15</v>
      </c>
    </row>
    <row r="59" spans="1:9" ht="15.75" thickBot="1" x14ac:dyDescent="0.3">
      <c r="A59" s="296" t="s">
        <v>54</v>
      </c>
      <c r="B59" s="264"/>
      <c r="C59" s="60" t="s">
        <v>55</v>
      </c>
      <c r="D59" s="59" t="s">
        <v>42</v>
      </c>
      <c r="E59" s="60">
        <v>2</v>
      </c>
      <c r="F59" s="64">
        <f>11.9/24</f>
        <v>0.49583333333333335</v>
      </c>
      <c r="G59" s="63">
        <f>E59*F59</f>
        <v>0.9916666666666667</v>
      </c>
    </row>
    <row r="60" spans="1:9" ht="15.75" thickBot="1" x14ac:dyDescent="0.3">
      <c r="A60" s="247" t="s">
        <v>52</v>
      </c>
      <c r="B60" s="264"/>
      <c r="C60" s="60" t="s">
        <v>53</v>
      </c>
      <c r="D60" s="59" t="s">
        <v>42</v>
      </c>
      <c r="E60" s="60">
        <v>2</v>
      </c>
      <c r="F60" s="64">
        <f>20/12</f>
        <v>1.6666666666666667</v>
      </c>
      <c r="G60" s="63">
        <f t="shared" ref="G60:G62" si="3">E60*F60</f>
        <v>3.3333333333333335</v>
      </c>
    </row>
    <row r="61" spans="1:9" ht="15.75" thickBot="1" x14ac:dyDescent="0.3">
      <c r="A61" s="251" t="s">
        <v>51</v>
      </c>
      <c r="B61" s="297"/>
      <c r="C61" s="8" t="s">
        <v>50</v>
      </c>
      <c r="D61" s="72" t="s">
        <v>42</v>
      </c>
      <c r="E61" s="60">
        <v>2</v>
      </c>
      <c r="F61" s="106">
        <f>266/60</f>
        <v>4.4333333333333336</v>
      </c>
      <c r="G61" s="63">
        <f t="shared" si="3"/>
        <v>8.8666666666666671</v>
      </c>
    </row>
    <row r="62" spans="1:9" ht="15.75" thickBot="1" x14ac:dyDescent="0.3">
      <c r="A62" s="88" t="s">
        <v>56</v>
      </c>
      <c r="B62" s="89"/>
      <c r="C62" s="60" t="s">
        <v>57</v>
      </c>
      <c r="D62" s="59" t="s">
        <v>42</v>
      </c>
      <c r="E62" s="60">
        <v>2</v>
      </c>
      <c r="F62" s="64">
        <v>19.899999999999999</v>
      </c>
      <c r="G62" s="63">
        <f t="shared" si="3"/>
        <v>39.799999999999997</v>
      </c>
    </row>
    <row r="63" spans="1:9" ht="15.75" thickBot="1" x14ac:dyDescent="0.3">
      <c r="A63" s="282" t="s">
        <v>25</v>
      </c>
      <c r="B63" s="283"/>
      <c r="C63" s="283"/>
      <c r="D63" s="283"/>
      <c r="E63" s="283"/>
      <c r="F63" s="283"/>
      <c r="G63" s="107">
        <v>70.599999999999994</v>
      </c>
    </row>
    <row r="64" spans="1:9" ht="15.75" thickBot="1" x14ac:dyDescent="0.3"/>
    <row r="65" spans="1:7" ht="15.75" thickBot="1" x14ac:dyDescent="0.3">
      <c r="A65" s="39" t="s">
        <v>131</v>
      </c>
      <c r="B65" s="94"/>
      <c r="C65" s="94"/>
      <c r="D65" s="94"/>
      <c r="E65" s="94"/>
      <c r="F65" s="94"/>
      <c r="G65" s="95">
        <f>G63</f>
        <v>70.599999999999994</v>
      </c>
    </row>
    <row r="66" spans="1:7" ht="15.75" thickBot="1" x14ac:dyDescent="0.3">
      <c r="A66" s="11"/>
      <c r="G66" s="12"/>
    </row>
    <row r="67" spans="1:7" ht="15.75" thickBot="1" x14ac:dyDescent="0.3">
      <c r="A67" s="233" t="s">
        <v>62</v>
      </c>
      <c r="B67" s="234"/>
      <c r="C67" s="234"/>
      <c r="D67" s="234"/>
      <c r="E67" s="234"/>
      <c r="F67" s="234"/>
      <c r="G67" s="78"/>
    </row>
    <row r="68" spans="1:7" ht="15.75" thickBot="1" x14ac:dyDescent="0.3"/>
    <row r="69" spans="1:7" x14ac:dyDescent="0.25">
      <c r="A69" s="286" t="s">
        <v>13</v>
      </c>
      <c r="B69" s="309"/>
      <c r="C69" s="65" t="s">
        <v>41</v>
      </c>
      <c r="D69" s="65" t="s">
        <v>14</v>
      </c>
      <c r="E69" s="65" t="s">
        <v>135</v>
      </c>
      <c r="F69" s="65" t="s">
        <v>113</v>
      </c>
      <c r="G69" s="100" t="s">
        <v>15</v>
      </c>
    </row>
    <row r="70" spans="1:7" ht="15.75" thickBot="1" x14ac:dyDescent="0.3">
      <c r="A70" s="310" t="s">
        <v>64</v>
      </c>
      <c r="B70" s="311"/>
      <c r="C70" s="97" t="s">
        <v>63</v>
      </c>
      <c r="D70" s="97" t="s">
        <v>42</v>
      </c>
      <c r="E70" s="97">
        <v>2</v>
      </c>
      <c r="F70" s="101">
        <f>5965.66/6</f>
        <v>994.27666666666664</v>
      </c>
      <c r="G70" s="90">
        <f>E70*F70</f>
        <v>1988.5533333333333</v>
      </c>
    </row>
    <row r="71" spans="1:7" ht="15.75" thickBot="1" x14ac:dyDescent="0.3">
      <c r="A71" s="98" t="s">
        <v>25</v>
      </c>
      <c r="B71" s="99"/>
      <c r="C71" s="96"/>
      <c r="D71" s="96"/>
      <c r="E71" s="96"/>
      <c r="F71" s="96"/>
      <c r="G71" s="107">
        <f>SUM(G70:G70)</f>
        <v>1988.5533333333333</v>
      </c>
    </row>
    <row r="72" spans="1:7" ht="15.75" thickBot="1" x14ac:dyDescent="0.3"/>
    <row r="73" spans="1:7" ht="15.75" thickBot="1" x14ac:dyDescent="0.3">
      <c r="A73" s="39" t="s">
        <v>132</v>
      </c>
      <c r="B73" s="94"/>
      <c r="C73" s="94"/>
      <c r="D73" s="94"/>
      <c r="E73" s="94"/>
      <c r="F73" s="94"/>
      <c r="G73" s="95">
        <f>G71</f>
        <v>1988.5533333333333</v>
      </c>
    </row>
    <row r="74" spans="1:7" ht="15.75" thickBot="1" x14ac:dyDescent="0.3"/>
    <row r="75" spans="1:7" ht="15.75" thickBot="1" x14ac:dyDescent="0.3">
      <c r="A75" s="233" t="s">
        <v>65</v>
      </c>
      <c r="B75" s="234"/>
      <c r="C75" s="234"/>
      <c r="D75" s="234"/>
      <c r="E75" s="234"/>
      <c r="F75" s="234"/>
      <c r="G75" s="78"/>
    </row>
    <row r="76" spans="1:7" x14ac:dyDescent="0.25">
      <c r="A76" s="10"/>
      <c r="B76" s="10"/>
      <c r="C76" s="10"/>
      <c r="D76" s="10"/>
      <c r="E76" s="10"/>
      <c r="F76" s="10"/>
      <c r="G76" s="4"/>
    </row>
    <row r="77" spans="1:7" x14ac:dyDescent="0.25">
      <c r="A77" s="263" t="s">
        <v>70</v>
      </c>
      <c r="B77" s="263"/>
      <c r="C77" s="10"/>
      <c r="D77" s="10"/>
      <c r="E77" s="10"/>
      <c r="F77" s="10"/>
      <c r="G77" s="4"/>
    </row>
    <row r="78" spans="1:7" ht="15.75" thickBot="1" x14ac:dyDescent="0.3"/>
    <row r="79" spans="1:7" ht="15.75" thickBot="1" x14ac:dyDescent="0.3">
      <c r="A79" s="303" t="s">
        <v>72</v>
      </c>
      <c r="B79" s="304"/>
      <c r="C79" s="304"/>
      <c r="D79" s="304"/>
      <c r="E79" s="304"/>
      <c r="F79" s="304"/>
      <c r="G79" s="305"/>
    </row>
    <row r="80" spans="1:7" ht="15.75" thickBot="1" x14ac:dyDescent="0.3">
      <c r="A80" s="247" t="s">
        <v>58</v>
      </c>
      <c r="B80" s="248"/>
      <c r="C80" s="260">
        <f xml:space="preserve"> C85*2989.47</f>
        <v>5978.94</v>
      </c>
      <c r="D80" s="261"/>
      <c r="E80" s="261"/>
      <c r="F80" s="261"/>
      <c r="G80" s="262"/>
    </row>
    <row r="81" spans="1:7" ht="15.75" thickBot="1" x14ac:dyDescent="0.3">
      <c r="A81" s="251" t="s">
        <v>59</v>
      </c>
      <c r="B81" s="252"/>
      <c r="C81" s="306">
        <f xml:space="preserve"> C85*282.4</f>
        <v>564.79999999999995</v>
      </c>
      <c r="D81" s="307"/>
      <c r="E81" s="307"/>
      <c r="F81" s="307"/>
      <c r="G81" s="308"/>
    </row>
    <row r="82" spans="1:7" ht="15.75" thickBot="1" x14ac:dyDescent="0.3">
      <c r="A82" s="247" t="s">
        <v>60</v>
      </c>
      <c r="B82" s="248"/>
      <c r="C82" s="247" t="s">
        <v>61</v>
      </c>
      <c r="D82" s="248"/>
      <c r="E82" s="248"/>
      <c r="F82" s="248"/>
      <c r="G82" s="264"/>
    </row>
    <row r="83" spans="1:7" ht="15.75" thickBot="1" x14ac:dyDescent="0.3">
      <c r="A83" s="88" t="s">
        <v>66</v>
      </c>
      <c r="B83" s="91"/>
      <c r="C83" s="247" t="s">
        <v>67</v>
      </c>
      <c r="D83" s="248"/>
      <c r="E83" s="248"/>
      <c r="F83" s="248"/>
      <c r="G83" s="264"/>
    </row>
    <row r="84" spans="1:7" ht="15.75" thickBot="1" x14ac:dyDescent="0.3">
      <c r="A84" s="88" t="s">
        <v>68</v>
      </c>
      <c r="B84" s="91"/>
      <c r="C84" s="265" t="s">
        <v>69</v>
      </c>
      <c r="D84" s="266"/>
      <c r="E84" s="266"/>
      <c r="F84" s="266"/>
      <c r="G84" s="267"/>
    </row>
    <row r="85" spans="1:7" ht="15.75" thickBot="1" x14ac:dyDescent="0.3">
      <c r="A85" s="88" t="s">
        <v>71</v>
      </c>
      <c r="B85" s="91"/>
      <c r="C85" s="86">
        <v>2</v>
      </c>
      <c r="D85" s="60"/>
      <c r="E85" s="60"/>
      <c r="F85" s="87"/>
      <c r="G85" s="63"/>
    </row>
    <row r="86" spans="1:7" ht="15.75" thickBot="1" x14ac:dyDescent="0.3">
      <c r="A86" s="298" t="s">
        <v>76</v>
      </c>
      <c r="B86" s="299"/>
      <c r="C86" s="299"/>
      <c r="D86" s="299"/>
      <c r="E86" s="299"/>
      <c r="F86" s="299"/>
      <c r="G86" s="300"/>
    </row>
    <row r="87" spans="1:7" ht="15.75" thickBot="1" x14ac:dyDescent="0.3">
      <c r="A87" s="225" t="s">
        <v>74</v>
      </c>
      <c r="B87" s="226"/>
      <c r="C87" s="293">
        <f xml:space="preserve"> C80*20%</f>
        <v>1195.788</v>
      </c>
      <c r="D87" s="294"/>
      <c r="E87" s="294"/>
      <c r="F87" s="294"/>
      <c r="G87" s="295"/>
    </row>
    <row r="88" spans="1:7" ht="15.75" thickBot="1" x14ac:dyDescent="0.3">
      <c r="A88" s="222" t="s">
        <v>73</v>
      </c>
      <c r="B88" s="223"/>
      <c r="C88" s="290">
        <f xml:space="preserve"> C80*8%</f>
        <v>478.3152</v>
      </c>
      <c r="D88" s="291"/>
      <c r="E88" s="291"/>
      <c r="F88" s="291"/>
      <c r="G88" s="292"/>
    </row>
    <row r="89" spans="1:7" ht="15.75" thickBot="1" x14ac:dyDescent="0.3">
      <c r="A89" s="225" t="s">
        <v>75</v>
      </c>
      <c r="B89" s="226"/>
      <c r="C89" s="293">
        <f xml:space="preserve"> C80*3%</f>
        <v>179.36819999999997</v>
      </c>
      <c r="D89" s="294"/>
      <c r="E89" s="294"/>
      <c r="F89" s="294"/>
      <c r="G89" s="295"/>
    </row>
    <row r="90" spans="1:7" ht="15.75" thickBot="1" x14ac:dyDescent="0.3">
      <c r="A90" s="301" t="s">
        <v>82</v>
      </c>
      <c r="B90" s="302"/>
      <c r="C90" s="312">
        <f>SUM(C87:C89)</f>
        <v>1853.4713999999999</v>
      </c>
      <c r="D90" s="313"/>
      <c r="E90" s="313"/>
      <c r="F90" s="313"/>
      <c r="G90" s="314"/>
    </row>
    <row r="91" spans="1:7" ht="15.75" thickBot="1" x14ac:dyDescent="0.3">
      <c r="A91" s="318" t="s">
        <v>93</v>
      </c>
      <c r="B91" s="319"/>
      <c r="C91" s="319"/>
      <c r="D91" s="319"/>
      <c r="E91" s="319"/>
      <c r="F91" s="319"/>
      <c r="G91" s="320"/>
    </row>
    <row r="92" spans="1:7" ht="15.75" thickBot="1" x14ac:dyDescent="0.3">
      <c r="A92" s="247" t="s">
        <v>77</v>
      </c>
      <c r="B92" s="264"/>
      <c r="C92" s="260">
        <f>C80*8.33%</f>
        <v>498.04570199999995</v>
      </c>
      <c r="D92" s="248"/>
      <c r="E92" s="248"/>
      <c r="F92" s="248"/>
      <c r="G92" s="264"/>
    </row>
    <row r="93" spans="1:7" ht="15.75" thickBot="1" x14ac:dyDescent="0.3">
      <c r="A93" s="247" t="s">
        <v>78</v>
      </c>
      <c r="B93" s="264"/>
      <c r="C93" s="260">
        <f>C80*8.33%</f>
        <v>498.04570199999995</v>
      </c>
      <c r="D93" s="248"/>
      <c r="E93" s="248"/>
      <c r="F93" s="248"/>
      <c r="G93" s="264"/>
    </row>
    <row r="94" spans="1:7" ht="15.75" thickBot="1" x14ac:dyDescent="0.3">
      <c r="A94" s="321" t="s">
        <v>79</v>
      </c>
      <c r="B94" s="322"/>
      <c r="C94" s="260">
        <f>C80*2.73%</f>
        <v>163.22506200000001</v>
      </c>
      <c r="D94" s="248"/>
      <c r="E94" s="248"/>
      <c r="F94" s="248"/>
      <c r="G94" s="264"/>
    </row>
    <row r="95" spans="1:7" ht="15.75" thickBot="1" x14ac:dyDescent="0.3">
      <c r="A95" s="321" t="s">
        <v>80</v>
      </c>
      <c r="B95" s="322"/>
      <c r="C95" s="260">
        <f>C80*1.66%*C85</f>
        <v>198.50080799999998</v>
      </c>
      <c r="D95" s="248"/>
      <c r="E95" s="248"/>
      <c r="F95" s="248"/>
      <c r="G95" s="264"/>
    </row>
    <row r="96" spans="1:7" ht="15.75" thickBot="1" x14ac:dyDescent="0.3">
      <c r="A96" s="321" t="s">
        <v>81</v>
      </c>
      <c r="B96" s="322"/>
      <c r="C96" s="260">
        <f>C80*0.1%</f>
        <v>5.9789399999999997</v>
      </c>
      <c r="D96" s="248"/>
      <c r="E96" s="248"/>
      <c r="F96" s="248"/>
      <c r="G96" s="264"/>
    </row>
    <row r="97" spans="1:15" ht="15.75" thickBot="1" x14ac:dyDescent="0.3">
      <c r="A97" s="321" t="s">
        <v>83</v>
      </c>
      <c r="B97" s="322"/>
      <c r="C97" s="260">
        <f>C80*0.28%</f>
        <v>16.741032000000001</v>
      </c>
      <c r="D97" s="248"/>
      <c r="E97" s="248"/>
      <c r="F97" s="248"/>
      <c r="G97" s="264"/>
    </row>
    <row r="98" spans="1:15" ht="15.75" thickBot="1" x14ac:dyDescent="0.3">
      <c r="A98" s="321" t="s">
        <v>84</v>
      </c>
      <c r="B98" s="322"/>
      <c r="C98" s="260">
        <f>C80*0.03%*C85</f>
        <v>3.5873639999999996</v>
      </c>
      <c r="D98" s="248"/>
      <c r="E98" s="248"/>
      <c r="F98" s="248"/>
      <c r="G98" s="264"/>
    </row>
    <row r="99" spans="1:15" ht="15.75" thickBot="1" x14ac:dyDescent="0.3">
      <c r="A99" s="325" t="s">
        <v>95</v>
      </c>
      <c r="B99" s="332"/>
      <c r="C99" s="315">
        <f>SUM(C92:G98)</f>
        <v>1384.1246099999998</v>
      </c>
      <c r="D99" s="281"/>
      <c r="E99" s="281"/>
      <c r="F99" s="281"/>
      <c r="G99" s="316"/>
      <c r="K99" s="223"/>
      <c r="L99" s="278"/>
      <c r="M99" s="18"/>
      <c r="N99" s="19"/>
      <c r="O99" s="20"/>
    </row>
    <row r="100" spans="1:15" ht="15.75" thickBot="1" x14ac:dyDescent="0.3">
      <c r="A100" s="318" t="s">
        <v>94</v>
      </c>
      <c r="B100" s="319"/>
      <c r="C100" s="319"/>
      <c r="D100" s="319"/>
      <c r="E100" s="319"/>
      <c r="F100" s="319"/>
      <c r="G100" s="320"/>
      <c r="K100" s="21"/>
      <c r="L100" s="21"/>
      <c r="M100" s="18"/>
      <c r="N100" s="19"/>
      <c r="O100" s="20"/>
    </row>
    <row r="101" spans="1:15" ht="15.75" thickBot="1" x14ac:dyDescent="0.3">
      <c r="A101" s="225" t="s">
        <v>96</v>
      </c>
      <c r="B101" s="226"/>
      <c r="C101" s="260">
        <f>C80*0.69%</f>
        <v>41.254686</v>
      </c>
      <c r="D101" s="261"/>
      <c r="E101" s="261"/>
      <c r="F101" s="261"/>
      <c r="G101" s="262"/>
      <c r="K101" s="21"/>
      <c r="L101" s="21"/>
      <c r="M101" s="18"/>
      <c r="N101" s="19"/>
      <c r="O101" s="20"/>
    </row>
    <row r="102" spans="1:15" ht="15.75" thickBot="1" x14ac:dyDescent="0.3">
      <c r="A102" s="222" t="s">
        <v>97</v>
      </c>
      <c r="B102" s="278"/>
      <c r="C102" s="306">
        <f>C80*0.08%</f>
        <v>4.7831520000000003</v>
      </c>
      <c r="D102" s="307"/>
      <c r="E102" s="307"/>
      <c r="F102" s="307"/>
      <c r="G102" s="308"/>
      <c r="K102" s="21"/>
      <c r="L102" s="21"/>
      <c r="M102" s="18"/>
      <c r="N102" s="19"/>
      <c r="O102" s="20"/>
    </row>
    <row r="103" spans="1:15" ht="15.75" thickBot="1" x14ac:dyDescent="0.3">
      <c r="A103" s="225" t="s">
        <v>98</v>
      </c>
      <c r="B103" s="259"/>
      <c r="C103" s="260">
        <f>C80*3%</f>
        <v>179.36819999999997</v>
      </c>
      <c r="D103" s="261"/>
      <c r="E103" s="261"/>
      <c r="F103" s="261"/>
      <c r="G103" s="262"/>
      <c r="K103" s="21"/>
      <c r="L103" s="21"/>
      <c r="M103" s="18"/>
      <c r="N103" s="19"/>
      <c r="O103" s="20"/>
    </row>
    <row r="104" spans="1:15" ht="15.75" thickBot="1" x14ac:dyDescent="0.3">
      <c r="A104" s="225" t="s">
        <v>106</v>
      </c>
      <c r="B104" s="259"/>
      <c r="C104" s="260">
        <f>C80*0.8%</f>
        <v>47.831519999999998</v>
      </c>
      <c r="D104" s="261"/>
      <c r="E104" s="261"/>
      <c r="F104" s="261"/>
      <c r="G104" s="262"/>
      <c r="K104" s="21"/>
      <c r="L104" s="21"/>
      <c r="M104" s="18"/>
      <c r="N104" s="19"/>
      <c r="O104" s="20"/>
    </row>
    <row r="105" spans="1:15" ht="15.75" thickBot="1" x14ac:dyDescent="0.3">
      <c r="A105" s="323" t="s">
        <v>99</v>
      </c>
      <c r="B105" s="324"/>
      <c r="C105" s="327">
        <f>SUM(C101:G104)</f>
        <v>273.23755799999998</v>
      </c>
      <c r="D105" s="328"/>
      <c r="E105" s="328"/>
      <c r="F105" s="328"/>
      <c r="G105" s="329"/>
      <c r="K105" s="21"/>
      <c r="L105" s="21"/>
      <c r="M105" s="18"/>
      <c r="N105" s="19"/>
      <c r="O105" s="20"/>
    </row>
    <row r="106" spans="1:15" ht="15.75" thickBot="1" x14ac:dyDescent="0.3">
      <c r="A106" s="318" t="s">
        <v>100</v>
      </c>
      <c r="B106" s="319"/>
      <c r="C106" s="319"/>
      <c r="D106" s="319"/>
      <c r="E106" s="319"/>
      <c r="F106" s="319"/>
      <c r="G106" s="320"/>
      <c r="K106" s="21"/>
      <c r="L106" s="21"/>
      <c r="M106" s="18"/>
      <c r="N106" s="19"/>
      <c r="O106" s="20"/>
    </row>
    <row r="107" spans="1:15" ht="15.75" thickBot="1" x14ac:dyDescent="0.3">
      <c r="A107" s="225" t="s">
        <v>105</v>
      </c>
      <c r="B107" s="259"/>
      <c r="C107" s="260">
        <f>C80*7.91%</f>
        <v>472.93415399999998</v>
      </c>
      <c r="D107" s="261"/>
      <c r="E107" s="261"/>
      <c r="F107" s="261"/>
      <c r="G107" s="262"/>
      <c r="K107" s="21"/>
      <c r="L107" s="21"/>
      <c r="M107" s="18"/>
      <c r="N107" s="19"/>
      <c r="O107" s="20"/>
    </row>
    <row r="108" spans="1:15" ht="15.75" thickBot="1" x14ac:dyDescent="0.3">
      <c r="A108" s="225" t="s">
        <v>101</v>
      </c>
      <c r="B108" s="259"/>
      <c r="C108" s="260">
        <f>C80*0.01%</f>
        <v>0.59789400000000004</v>
      </c>
      <c r="D108" s="261"/>
      <c r="E108" s="261"/>
      <c r="F108" s="261"/>
      <c r="G108" s="262"/>
      <c r="K108" s="21"/>
      <c r="L108" s="21"/>
      <c r="M108" s="18"/>
      <c r="N108" s="19"/>
      <c r="O108" s="20"/>
    </row>
    <row r="109" spans="1:15" ht="15.75" thickBot="1" x14ac:dyDescent="0.3">
      <c r="A109" s="225" t="s">
        <v>102</v>
      </c>
      <c r="B109" s="259"/>
      <c r="C109" s="260">
        <f>C80*0.01%</f>
        <v>0.59789400000000004</v>
      </c>
      <c r="D109" s="261"/>
      <c r="E109" s="261"/>
      <c r="F109" s="261"/>
      <c r="G109" s="262"/>
      <c r="K109" s="21"/>
      <c r="L109" s="21"/>
      <c r="M109" s="18"/>
      <c r="N109" s="19"/>
      <c r="O109" s="20"/>
    </row>
    <row r="110" spans="1:15" ht="15.75" thickBot="1" x14ac:dyDescent="0.3">
      <c r="A110" s="325" t="s">
        <v>103</v>
      </c>
      <c r="B110" s="326"/>
      <c r="C110" s="260">
        <f>SUM(C107:G109)</f>
        <v>474.12994199999997</v>
      </c>
      <c r="D110" s="261"/>
      <c r="E110" s="261"/>
      <c r="F110" s="261"/>
      <c r="G110" s="262"/>
      <c r="K110" s="21"/>
      <c r="L110" s="21"/>
      <c r="M110" s="18"/>
      <c r="N110" s="19"/>
      <c r="O110" s="20"/>
    </row>
    <row r="111" spans="1:15" ht="15.75" thickBot="1" x14ac:dyDescent="0.3">
      <c r="A111" s="268" t="s">
        <v>104</v>
      </c>
      <c r="B111" s="317"/>
      <c r="C111" s="270">
        <f>C90+C99+C105+C110</f>
        <v>3984.9635099999996</v>
      </c>
      <c r="D111" s="271"/>
      <c r="E111" s="271"/>
      <c r="F111" s="271"/>
      <c r="G111" s="272"/>
      <c r="K111" s="278"/>
      <c r="L111" s="278"/>
      <c r="M111" s="18"/>
      <c r="N111" s="19"/>
      <c r="O111" s="20"/>
    </row>
    <row r="112" spans="1:15" ht="15.75" thickBot="1" x14ac:dyDescent="0.3">
      <c r="A112" s="333" t="s">
        <v>85</v>
      </c>
      <c r="B112" s="334"/>
      <c r="C112" s="270">
        <f>C80 +C111</f>
        <v>9963.9035100000001</v>
      </c>
      <c r="D112" s="271"/>
      <c r="E112" s="271"/>
      <c r="F112" s="271"/>
      <c r="G112" s="272"/>
      <c r="K112" s="278"/>
      <c r="L112" s="278"/>
      <c r="M112" s="18"/>
      <c r="N112" s="19"/>
      <c r="O112" s="20"/>
    </row>
    <row r="113" spans="1:15" ht="15.75" thickBot="1" x14ac:dyDescent="0.3">
      <c r="A113" s="268" t="s">
        <v>86</v>
      </c>
      <c r="B113" s="317"/>
      <c r="C113" s="270">
        <f>C112/220</f>
        <v>45.290470499999998</v>
      </c>
      <c r="D113" s="273"/>
      <c r="E113" s="273"/>
      <c r="F113" s="273"/>
      <c r="G113" s="274"/>
      <c r="K113" s="278"/>
      <c r="L113" s="278"/>
      <c r="M113" s="18"/>
      <c r="N113" s="19"/>
      <c r="O113" s="20"/>
    </row>
    <row r="114" spans="1:15" ht="15.75" thickBot="1" x14ac:dyDescent="0.3">
      <c r="A114" s="268" t="s">
        <v>201</v>
      </c>
      <c r="B114" s="317"/>
      <c r="C114" s="275">
        <v>280</v>
      </c>
      <c r="D114" s="276"/>
      <c r="E114" s="276"/>
      <c r="F114" s="276"/>
      <c r="G114" s="277"/>
      <c r="H114" s="142" t="s">
        <v>198</v>
      </c>
      <c r="I114" s="142"/>
      <c r="J114" s="142"/>
      <c r="K114" s="278"/>
      <c r="L114" s="278"/>
      <c r="M114" s="22"/>
      <c r="N114" s="19"/>
      <c r="O114" s="23"/>
    </row>
    <row r="115" spans="1:15" s="15" customFormat="1" ht="15.75" thickBot="1" x14ac:dyDescent="0.3">
      <c r="A115" s="330"/>
      <c r="B115" s="330"/>
      <c r="C115" s="331"/>
      <c r="D115" s="331"/>
      <c r="E115" s="331"/>
      <c r="F115" s="331"/>
      <c r="G115" s="331"/>
      <c r="H115" s="143" t="s">
        <v>199</v>
      </c>
      <c r="I115" s="144" t="s">
        <v>200</v>
      </c>
      <c r="J115" s="144"/>
      <c r="K115" s="278"/>
      <c r="L115" s="278"/>
      <c r="M115" s="278"/>
      <c r="N115" s="278"/>
      <c r="O115" s="278"/>
    </row>
    <row r="116" spans="1:15" ht="15.75" thickBot="1" x14ac:dyDescent="0.3">
      <c r="A116" s="249" t="s">
        <v>108</v>
      </c>
      <c r="B116" s="250"/>
      <c r="C116" s="82"/>
      <c r="D116" s="82"/>
      <c r="E116" s="82"/>
      <c r="F116" s="82"/>
      <c r="G116" s="83">
        <f>C113*C114</f>
        <v>12681.33174</v>
      </c>
      <c r="K116" s="278"/>
      <c r="L116" s="278"/>
      <c r="M116" s="24"/>
      <c r="N116" s="279"/>
      <c r="O116" s="279"/>
    </row>
    <row r="117" spans="1:15" x14ac:dyDescent="0.25">
      <c r="K117" s="278"/>
      <c r="L117" s="278"/>
      <c r="M117" s="18"/>
      <c r="N117" s="279"/>
      <c r="O117" s="279"/>
    </row>
    <row r="118" spans="1:15" x14ac:dyDescent="0.25">
      <c r="A118" s="263" t="s">
        <v>87</v>
      </c>
      <c r="B118" s="263"/>
      <c r="C118" s="10"/>
      <c r="D118" s="10"/>
      <c r="E118" s="10"/>
      <c r="F118" s="10"/>
      <c r="G118" s="4"/>
      <c r="K118" s="278"/>
      <c r="L118" s="278"/>
      <c r="M118" s="18"/>
      <c r="N118" s="279"/>
      <c r="O118" s="279"/>
    </row>
    <row r="119" spans="1:15" ht="15.75" thickBot="1" x14ac:dyDescent="0.3">
      <c r="K119" s="278"/>
      <c r="L119" s="278"/>
      <c r="M119" s="25"/>
      <c r="N119" s="279"/>
      <c r="O119" s="279"/>
    </row>
    <row r="120" spans="1:15" ht="15.75" thickBot="1" x14ac:dyDescent="0.3">
      <c r="A120" s="235" t="s">
        <v>72</v>
      </c>
      <c r="B120" s="236"/>
      <c r="C120" s="236"/>
      <c r="D120" s="236"/>
      <c r="E120" s="236"/>
      <c r="F120" s="236"/>
      <c r="G120" s="237"/>
    </row>
    <row r="121" spans="1:15" ht="15.75" thickBot="1" x14ac:dyDescent="0.3">
      <c r="A121" s="247" t="s">
        <v>58</v>
      </c>
      <c r="B121" s="264"/>
      <c r="C121" s="260">
        <v>2640</v>
      </c>
      <c r="D121" s="261"/>
      <c r="E121" s="261"/>
      <c r="F121" s="261"/>
      <c r="G121" s="262"/>
    </row>
    <row r="122" spans="1:15" ht="15.75" thickBot="1" x14ac:dyDescent="0.3">
      <c r="A122" s="247" t="s">
        <v>59</v>
      </c>
      <c r="B122" s="264"/>
      <c r="C122" s="260">
        <v>1320</v>
      </c>
      <c r="D122" s="261"/>
      <c r="E122" s="261"/>
      <c r="F122" s="261"/>
      <c r="G122" s="262"/>
    </row>
    <row r="123" spans="1:15" ht="15.75" thickBot="1" x14ac:dyDescent="0.3">
      <c r="A123" s="247" t="s">
        <v>60</v>
      </c>
      <c r="B123" s="264"/>
      <c r="C123" s="247" t="s">
        <v>61</v>
      </c>
      <c r="D123" s="248"/>
      <c r="E123" s="248"/>
      <c r="F123" s="248"/>
      <c r="G123" s="264"/>
    </row>
    <row r="124" spans="1:15" ht="15.75" thickBot="1" x14ac:dyDescent="0.3">
      <c r="A124" s="88" t="s">
        <v>66</v>
      </c>
      <c r="B124" s="89"/>
      <c r="C124" s="247" t="s">
        <v>67</v>
      </c>
      <c r="D124" s="248"/>
      <c r="E124" s="248"/>
      <c r="F124" s="248"/>
      <c r="G124" s="264"/>
    </row>
    <row r="125" spans="1:15" ht="15.75" thickBot="1" x14ac:dyDescent="0.3">
      <c r="A125" s="88" t="s">
        <v>68</v>
      </c>
      <c r="B125" s="89"/>
      <c r="C125" s="265" t="s">
        <v>69</v>
      </c>
      <c r="D125" s="266"/>
      <c r="E125" s="266"/>
      <c r="F125" s="266"/>
      <c r="G125" s="267"/>
    </row>
    <row r="126" spans="1:15" ht="15.75" thickBot="1" x14ac:dyDescent="0.3">
      <c r="A126" s="88" t="s">
        <v>71</v>
      </c>
      <c r="B126" s="89"/>
      <c r="C126" s="86">
        <v>1</v>
      </c>
      <c r="D126" s="60"/>
      <c r="E126" s="60"/>
      <c r="F126" s="87"/>
      <c r="G126" s="63"/>
    </row>
    <row r="127" spans="1:15" ht="15.75" thickBot="1" x14ac:dyDescent="0.3">
      <c r="A127" s="268" t="s">
        <v>88</v>
      </c>
      <c r="B127" s="269"/>
      <c r="C127" s="270">
        <f>C121+C122</f>
        <v>3960</v>
      </c>
      <c r="D127" s="271"/>
      <c r="E127" s="271"/>
      <c r="F127" s="271"/>
      <c r="G127" s="272"/>
    </row>
    <row r="128" spans="1:15" ht="15.75" thickBot="1" x14ac:dyDescent="0.3">
      <c r="A128" s="268" t="s">
        <v>86</v>
      </c>
      <c r="B128" s="269"/>
      <c r="C128" s="270">
        <f>C127/220</f>
        <v>18</v>
      </c>
      <c r="D128" s="273"/>
      <c r="E128" s="273"/>
      <c r="F128" s="273"/>
      <c r="G128" s="274"/>
    </row>
    <row r="129" spans="1:15" ht="15.75" thickBot="1" x14ac:dyDescent="0.3">
      <c r="A129" s="268" t="s">
        <v>202</v>
      </c>
      <c r="B129" s="269"/>
      <c r="C129" s="275">
        <v>280</v>
      </c>
      <c r="D129" s="276"/>
      <c r="E129" s="276"/>
      <c r="F129" s="276"/>
      <c r="G129" s="277"/>
      <c r="H129" s="142"/>
      <c r="I129" s="142"/>
      <c r="J129" s="142"/>
    </row>
    <row r="130" spans="1:15" s="15" customFormat="1" ht="15.75" thickBot="1" x14ac:dyDescent="0.3">
      <c r="A130" s="330"/>
      <c r="B130" s="330"/>
      <c r="C130" s="331"/>
      <c r="D130" s="331"/>
      <c r="E130" s="331"/>
      <c r="F130" s="331"/>
      <c r="G130" s="331"/>
      <c r="H130" s="143"/>
      <c r="I130" s="144"/>
      <c r="J130" s="144"/>
      <c r="K130" s="26"/>
      <c r="L130" s="26"/>
      <c r="M130" s="26"/>
      <c r="N130" s="26"/>
      <c r="O130" s="26"/>
    </row>
    <row r="131" spans="1:15" ht="15.75" thickBot="1" x14ac:dyDescent="0.3">
      <c r="A131" s="249" t="s">
        <v>107</v>
      </c>
      <c r="B131" s="250"/>
      <c r="C131" s="82"/>
      <c r="D131" s="82"/>
      <c r="E131" s="82"/>
      <c r="F131" s="82"/>
      <c r="G131" s="83">
        <f>C128*C129</f>
        <v>5040</v>
      </c>
    </row>
    <row r="132" spans="1:15" ht="15.75" thickBot="1" x14ac:dyDescent="0.3"/>
    <row r="133" spans="1:15" ht="15.75" thickBot="1" x14ac:dyDescent="0.3">
      <c r="A133" s="233" t="s">
        <v>110</v>
      </c>
      <c r="B133" s="234"/>
      <c r="C133" s="234"/>
      <c r="D133" s="234"/>
      <c r="E133" s="234"/>
      <c r="F133" s="234"/>
      <c r="G133" s="78"/>
    </row>
    <row r="134" spans="1:15" ht="15.75" thickBot="1" x14ac:dyDescent="0.3"/>
    <row r="135" spans="1:15" ht="15.75" thickBot="1" x14ac:dyDescent="0.3">
      <c r="A135" s="256" t="s">
        <v>13</v>
      </c>
      <c r="B135" s="257"/>
      <c r="C135" s="258"/>
      <c r="D135" s="74" t="s">
        <v>111</v>
      </c>
      <c r="E135" s="67" t="s">
        <v>135</v>
      </c>
      <c r="F135" s="236" t="s">
        <v>112</v>
      </c>
      <c r="G135" s="237"/>
    </row>
    <row r="136" spans="1:15" ht="15.75" thickBot="1" x14ac:dyDescent="0.3">
      <c r="A136" s="251" t="s">
        <v>116</v>
      </c>
      <c r="B136" s="252"/>
      <c r="C136" s="252"/>
      <c r="D136" s="75">
        <f xml:space="preserve"> 4.9/9</f>
        <v>0.54444444444444451</v>
      </c>
      <c r="E136" s="72">
        <v>11713.96</v>
      </c>
      <c r="F136" s="254">
        <f>D136*E136</f>
        <v>6377.6004444444443</v>
      </c>
      <c r="G136" s="255"/>
    </row>
    <row r="137" spans="1:15" ht="15.75" thickBot="1" x14ac:dyDescent="0.3">
      <c r="A137" s="247" t="s">
        <v>109</v>
      </c>
      <c r="B137" s="248"/>
      <c r="C137" s="248"/>
      <c r="D137" s="76">
        <v>12</v>
      </c>
      <c r="E137" s="59">
        <v>50</v>
      </c>
      <c r="F137" s="253">
        <f>D137*E137</f>
        <v>600</v>
      </c>
      <c r="G137" s="239"/>
    </row>
    <row r="138" spans="1:15" ht="15.75" thickBot="1" x14ac:dyDescent="0.3">
      <c r="A138" s="251" t="s">
        <v>117</v>
      </c>
      <c r="B138" s="252"/>
      <c r="C138" s="252"/>
      <c r="D138" s="75">
        <v>0.15</v>
      </c>
      <c r="E138" s="72">
        <v>1173.96</v>
      </c>
      <c r="F138" s="253">
        <f>D138*E138</f>
        <v>176.09399999999999</v>
      </c>
      <c r="G138" s="239"/>
    </row>
    <row r="139" spans="1:15" ht="15.75" thickBot="1" x14ac:dyDescent="0.3">
      <c r="A139" s="247" t="s">
        <v>118</v>
      </c>
      <c r="B139" s="248"/>
      <c r="C139" s="248"/>
      <c r="D139" s="77">
        <v>100</v>
      </c>
      <c r="E139" s="59">
        <v>45</v>
      </c>
      <c r="F139" s="253">
        <f>D139*E139*C85/2</f>
        <v>4500</v>
      </c>
      <c r="G139" s="239"/>
    </row>
    <row r="140" spans="1:15" ht="15.75" thickBot="1" x14ac:dyDescent="0.3">
      <c r="A140" s="247" t="s">
        <v>115</v>
      </c>
      <c r="B140" s="248"/>
      <c r="C140" s="248"/>
      <c r="D140" s="77">
        <v>90</v>
      </c>
      <c r="E140" s="59">
        <v>50</v>
      </c>
      <c r="F140" s="253">
        <f>D140*E140*C85</f>
        <v>9000</v>
      </c>
      <c r="G140" s="239"/>
    </row>
    <row r="141" spans="1:15" ht="15.75" thickBot="1" x14ac:dyDescent="0.3">
      <c r="A141" s="27"/>
      <c r="B141" s="27"/>
      <c r="C141" s="27"/>
      <c r="D141" s="29"/>
      <c r="E141" s="8"/>
      <c r="F141" s="28"/>
      <c r="G141" s="28"/>
    </row>
    <row r="142" spans="1:15" ht="15" customHeight="1" thickBot="1" x14ac:dyDescent="0.3">
      <c r="A142" s="249" t="s">
        <v>128</v>
      </c>
      <c r="B142" s="250"/>
      <c r="C142" s="250"/>
      <c r="D142" s="79"/>
      <c r="E142" s="81"/>
      <c r="F142" s="81"/>
      <c r="G142" s="80">
        <f>F136+F137+F138+F139+F140</f>
        <v>20653.694444444445</v>
      </c>
    </row>
    <row r="143" spans="1:15" ht="15.75" thickBot="1" x14ac:dyDescent="0.3"/>
    <row r="144" spans="1:15" ht="15.75" thickBot="1" x14ac:dyDescent="0.3">
      <c r="A144" s="235" t="s">
        <v>119</v>
      </c>
      <c r="B144" s="236"/>
      <c r="C144" s="236"/>
      <c r="D144" s="236"/>
      <c r="E144" s="236"/>
      <c r="F144" s="236"/>
      <c r="G144" s="237"/>
    </row>
    <row r="145" spans="1:7" ht="15.75" thickBot="1" x14ac:dyDescent="0.3"/>
    <row r="146" spans="1:7" ht="15.75" thickBot="1" x14ac:dyDescent="0.3">
      <c r="A146" s="233" t="s">
        <v>120</v>
      </c>
      <c r="B146" s="234"/>
      <c r="C146" s="234"/>
      <c r="D146" s="234"/>
      <c r="E146" s="234"/>
      <c r="F146" s="234"/>
      <c r="G146" s="78"/>
    </row>
    <row r="147" spans="1:7" ht="15.75" thickBot="1" x14ac:dyDescent="0.3"/>
    <row r="148" spans="1:7" ht="15.75" thickBot="1" x14ac:dyDescent="0.3">
      <c r="A148" s="235" t="s">
        <v>13</v>
      </c>
      <c r="B148" s="236"/>
      <c r="C148" s="236"/>
      <c r="D148" s="237"/>
      <c r="E148" s="67" t="s">
        <v>124</v>
      </c>
      <c r="F148" s="236" t="s">
        <v>127</v>
      </c>
      <c r="G148" s="237"/>
    </row>
    <row r="149" spans="1:7" ht="15.75" thickBot="1" x14ac:dyDescent="0.3">
      <c r="A149" s="222" t="s">
        <v>121</v>
      </c>
      <c r="B149" s="223"/>
      <c r="C149" s="223"/>
      <c r="D149" s="224"/>
      <c r="E149" s="69">
        <v>2.76E-2</v>
      </c>
      <c r="F149" s="254">
        <f>G9*E149</f>
        <v>1253.440476</v>
      </c>
      <c r="G149" s="255"/>
    </row>
    <row r="150" spans="1:7" ht="15.75" thickBot="1" x14ac:dyDescent="0.3">
      <c r="A150" s="225" t="s">
        <v>125</v>
      </c>
      <c r="B150" s="226"/>
      <c r="C150" s="226"/>
      <c r="D150" s="227"/>
      <c r="E150" s="70">
        <v>6.0000000000000001E-3</v>
      </c>
      <c r="F150" s="238">
        <f>G9*E150</f>
        <v>272.48706000000004</v>
      </c>
      <c r="G150" s="239"/>
    </row>
    <row r="151" spans="1:7" ht="15.75" thickBot="1" x14ac:dyDescent="0.3">
      <c r="A151" s="225" t="s">
        <v>122</v>
      </c>
      <c r="B151" s="226"/>
      <c r="C151" s="226"/>
      <c r="D151" s="227"/>
      <c r="E151" s="70">
        <v>2.87E-2</v>
      </c>
      <c r="F151" s="238">
        <f>G9*E151</f>
        <v>1303.3964370000001</v>
      </c>
      <c r="G151" s="239"/>
    </row>
    <row r="152" spans="1:7" ht="15.75" thickBot="1" x14ac:dyDescent="0.3">
      <c r="A152" s="225" t="s">
        <v>123</v>
      </c>
      <c r="B152" s="226"/>
      <c r="C152" s="226"/>
      <c r="D152" s="227"/>
      <c r="E152" s="70">
        <v>2.9399999999999999E-2</v>
      </c>
      <c r="F152" s="238">
        <f>G9*E152</f>
        <v>1335.186594</v>
      </c>
      <c r="G152" s="239"/>
    </row>
    <row r="153" spans="1:7" ht="15.75" thickBot="1" x14ac:dyDescent="0.3">
      <c r="A153" s="228" t="s">
        <v>126</v>
      </c>
      <c r="B153" s="229"/>
      <c r="C153" s="229"/>
      <c r="D153" s="230"/>
      <c r="E153" s="71">
        <v>6.1156000000000002E-2</v>
      </c>
      <c r="F153" s="240">
        <f>G9*E153</f>
        <v>2777.3697735600003</v>
      </c>
      <c r="G153" s="241"/>
    </row>
    <row r="154" spans="1:7" ht="15.75" thickBot="1" x14ac:dyDescent="0.3"/>
    <row r="155" spans="1:7" ht="15.75" thickBot="1" x14ac:dyDescent="0.3">
      <c r="A155" s="231" t="s">
        <v>138</v>
      </c>
      <c r="B155" s="232"/>
      <c r="C155" s="232"/>
      <c r="D155" s="79"/>
      <c r="E155" s="79"/>
      <c r="F155" s="79"/>
      <c r="G155" s="80">
        <f>F149+F150+F151+F152+F153</f>
        <v>6941.8803405600011</v>
      </c>
    </row>
    <row r="156" spans="1:7" ht="15.75" thickBot="1" x14ac:dyDescent="0.3"/>
    <row r="157" spans="1:7" ht="15.75" thickBot="1" x14ac:dyDescent="0.3">
      <c r="A157" s="233" t="s">
        <v>192</v>
      </c>
      <c r="B157" s="234"/>
      <c r="C157" s="234"/>
      <c r="D157" s="234"/>
      <c r="E157" s="234"/>
      <c r="F157" s="234"/>
      <c r="G157" s="78"/>
    </row>
    <row r="158" spans="1:7" ht="15.75" thickBot="1" x14ac:dyDescent="0.3"/>
    <row r="159" spans="1:7" ht="15.75" thickBot="1" x14ac:dyDescent="0.3">
      <c r="A159" s="235" t="s">
        <v>13</v>
      </c>
      <c r="B159" s="236"/>
      <c r="C159" s="236"/>
      <c r="D159" s="237"/>
      <c r="E159" s="67" t="s">
        <v>140</v>
      </c>
      <c r="F159" s="235" t="s">
        <v>139</v>
      </c>
      <c r="G159" s="237"/>
    </row>
    <row r="160" spans="1:7" ht="15.75" thickBot="1" x14ac:dyDescent="0.3">
      <c r="A160" s="228" t="s">
        <v>137</v>
      </c>
      <c r="B160" s="229"/>
      <c r="C160" s="229"/>
      <c r="D160" s="230"/>
      <c r="E160" s="68">
        <f>F160*100/G9</f>
        <v>-18.148966940206602</v>
      </c>
      <c r="F160" s="242">
        <f>G9-G43-G54-G65-G73-G116-G131-G142-G155</f>
        <v>-8242.2644059568229</v>
      </c>
      <c r="G160" s="241"/>
    </row>
    <row r="164" spans="3:3" x14ac:dyDescent="0.25">
      <c r="C164" s="30"/>
    </row>
    <row r="165" spans="3:3" x14ac:dyDescent="0.25">
      <c r="C165" s="30"/>
    </row>
    <row r="170" spans="3:3" x14ac:dyDescent="0.25">
      <c r="C170" s="31" t="s">
        <v>141</v>
      </c>
    </row>
    <row r="171" spans="3:3" x14ac:dyDescent="0.25">
      <c r="C171" s="31" t="s">
        <v>142</v>
      </c>
    </row>
    <row r="172" spans="3:3" x14ac:dyDescent="0.25">
      <c r="C172" s="32" t="s">
        <v>143</v>
      </c>
    </row>
    <row r="173" spans="3:3" x14ac:dyDescent="0.25">
      <c r="C173" s="32" t="s">
        <v>144</v>
      </c>
    </row>
    <row r="174" spans="3:3" x14ac:dyDescent="0.25">
      <c r="C174" s="33"/>
    </row>
  </sheetData>
  <sheetProtection algorithmName="SHA-512" hashValue="0Sa1seHSUY3StuOBXk29zo4JoZ+TuDEwMQFA+3YxSPO0j5elWxgxP6zJsi3wuk7DbK1EuRHKjRL6/LqjAu0KmQ==" saltValue="bJyh5SSe84rHaM3wHUTOjw==" spinCount="100000" sheet="1" objects="1" scenarios="1" formatCells="0" formatColumns="0" formatRows="0" insertColumns="0" insertRows="0" insertHyperlinks="0" deleteColumns="0" deleteRows="0"/>
  <protectedRanges>
    <protectedRange sqref="K11" name="Range1"/>
  </protectedRanges>
  <mergeCells count="160">
    <mergeCell ref="A130:B130"/>
    <mergeCell ref="C130:G130"/>
    <mergeCell ref="A97:B97"/>
    <mergeCell ref="A98:B98"/>
    <mergeCell ref="A99:B99"/>
    <mergeCell ref="C96:G96"/>
    <mergeCell ref="A103:B103"/>
    <mergeCell ref="A104:B104"/>
    <mergeCell ref="C103:G103"/>
    <mergeCell ref="C104:G104"/>
    <mergeCell ref="A106:G106"/>
    <mergeCell ref="A107:B107"/>
    <mergeCell ref="C107:G107"/>
    <mergeCell ref="A112:B112"/>
    <mergeCell ref="C112:G112"/>
    <mergeCell ref="A113:B113"/>
    <mergeCell ref="C113:G113"/>
    <mergeCell ref="A114:B114"/>
    <mergeCell ref="C114:G114"/>
    <mergeCell ref="A115:B115"/>
    <mergeCell ref="C115:G115"/>
    <mergeCell ref="A128:B128"/>
    <mergeCell ref="C95:G95"/>
    <mergeCell ref="C97:G97"/>
    <mergeCell ref="C98:G98"/>
    <mergeCell ref="C99:G99"/>
    <mergeCell ref="A111:B111"/>
    <mergeCell ref="C111:G111"/>
    <mergeCell ref="A91:G91"/>
    <mergeCell ref="A94:B94"/>
    <mergeCell ref="C92:G92"/>
    <mergeCell ref="C93:G93"/>
    <mergeCell ref="C94:G94"/>
    <mergeCell ref="A92:B92"/>
    <mergeCell ref="A93:B93"/>
    <mergeCell ref="A95:B95"/>
    <mergeCell ref="A96:B96"/>
    <mergeCell ref="A100:G100"/>
    <mergeCell ref="A101:B101"/>
    <mergeCell ref="A102:B102"/>
    <mergeCell ref="A105:B105"/>
    <mergeCell ref="A110:B110"/>
    <mergeCell ref="C101:G101"/>
    <mergeCell ref="C102:G102"/>
    <mergeCell ref="C105:G105"/>
    <mergeCell ref="C110:G110"/>
    <mergeCell ref="A89:B89"/>
    <mergeCell ref="A90:B90"/>
    <mergeCell ref="A79:G79"/>
    <mergeCell ref="C80:G80"/>
    <mergeCell ref="C81:G81"/>
    <mergeCell ref="A80:B80"/>
    <mergeCell ref="A81:B81"/>
    <mergeCell ref="A67:F67"/>
    <mergeCell ref="A69:B69"/>
    <mergeCell ref="A70:B70"/>
    <mergeCell ref="A75:F75"/>
    <mergeCell ref="A77:B77"/>
    <mergeCell ref="C90:G90"/>
    <mergeCell ref="A63:F63"/>
    <mergeCell ref="C82:G82"/>
    <mergeCell ref="C83:G83"/>
    <mergeCell ref="C84:G84"/>
    <mergeCell ref="A86:G86"/>
    <mergeCell ref="C87:G87"/>
    <mergeCell ref="A82:B82"/>
    <mergeCell ref="A87:B87"/>
    <mergeCell ref="A88:B88"/>
    <mergeCell ref="K99:L99"/>
    <mergeCell ref="K111:L111"/>
    <mergeCell ref="K112:L112"/>
    <mergeCell ref="K113:L113"/>
    <mergeCell ref="K114:L114"/>
    <mergeCell ref="A17:F17"/>
    <mergeCell ref="A15:G15"/>
    <mergeCell ref="A41:F41"/>
    <mergeCell ref="A32:F32"/>
    <mergeCell ref="A26:F26"/>
    <mergeCell ref="A51:B51"/>
    <mergeCell ref="A56:F56"/>
    <mergeCell ref="A52:F52"/>
    <mergeCell ref="A45:F45"/>
    <mergeCell ref="A47:B47"/>
    <mergeCell ref="A48:B48"/>
    <mergeCell ref="A50:B50"/>
    <mergeCell ref="A49:B49"/>
    <mergeCell ref="C88:G88"/>
    <mergeCell ref="C89:G89"/>
    <mergeCell ref="A58:B58"/>
    <mergeCell ref="A59:B59"/>
    <mergeCell ref="A60:B60"/>
    <mergeCell ref="A61:B61"/>
    <mergeCell ref="K118:L118"/>
    <mergeCell ref="N118:O118"/>
    <mergeCell ref="K119:L119"/>
    <mergeCell ref="N119:O119"/>
    <mergeCell ref="K115:O115"/>
    <mergeCell ref="K116:L116"/>
    <mergeCell ref="N116:O116"/>
    <mergeCell ref="K117:L117"/>
    <mergeCell ref="N117:O117"/>
    <mergeCell ref="A135:C135"/>
    <mergeCell ref="F135:G135"/>
    <mergeCell ref="F136:G136"/>
    <mergeCell ref="A108:B108"/>
    <mergeCell ref="C108:G108"/>
    <mergeCell ref="A109:B109"/>
    <mergeCell ref="C109:G109"/>
    <mergeCell ref="A133:F133"/>
    <mergeCell ref="A118:B118"/>
    <mergeCell ref="A120:G120"/>
    <mergeCell ref="A121:B121"/>
    <mergeCell ref="C121:G121"/>
    <mergeCell ref="A122:B122"/>
    <mergeCell ref="C122:G122"/>
    <mergeCell ref="A123:B123"/>
    <mergeCell ref="C123:G123"/>
    <mergeCell ref="C124:G124"/>
    <mergeCell ref="C125:G125"/>
    <mergeCell ref="A127:B127"/>
    <mergeCell ref="C127:G127"/>
    <mergeCell ref="A131:B131"/>
    <mergeCell ref="C128:G128"/>
    <mergeCell ref="A129:B129"/>
    <mergeCell ref="C129:G129"/>
    <mergeCell ref="A160:D160"/>
    <mergeCell ref="F160:G160"/>
    <mergeCell ref="A144:G144"/>
    <mergeCell ref="B3:G3"/>
    <mergeCell ref="A6:G6"/>
    <mergeCell ref="B8:C8"/>
    <mergeCell ref="B9:C9"/>
    <mergeCell ref="A140:C140"/>
    <mergeCell ref="A142:C142"/>
    <mergeCell ref="A136:C136"/>
    <mergeCell ref="A137:C137"/>
    <mergeCell ref="A138:C138"/>
    <mergeCell ref="A139:C139"/>
    <mergeCell ref="A146:F146"/>
    <mergeCell ref="A148:D148"/>
    <mergeCell ref="F138:G138"/>
    <mergeCell ref="F139:G139"/>
    <mergeCell ref="F140:G140"/>
    <mergeCell ref="F148:G148"/>
    <mergeCell ref="F149:G149"/>
    <mergeCell ref="F150:G150"/>
    <mergeCell ref="A116:B116"/>
    <mergeCell ref="F137:G137"/>
    <mergeCell ref="F151:G151"/>
    <mergeCell ref="A149:D149"/>
    <mergeCell ref="A150:D150"/>
    <mergeCell ref="A151:D151"/>
    <mergeCell ref="A152:D152"/>
    <mergeCell ref="A153:D153"/>
    <mergeCell ref="A155:C155"/>
    <mergeCell ref="A157:F157"/>
    <mergeCell ref="A159:D159"/>
    <mergeCell ref="F159:G159"/>
    <mergeCell ref="F152:G152"/>
    <mergeCell ref="F153:G153"/>
  </mergeCells>
  <pageMargins left="0.511811024" right="0.511811024" top="0.78740157499999996" bottom="0.78740157499999996" header="0.31496062000000002" footer="0.31496062000000002"/>
  <pageSetup paperSize="9" orientation="landscape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4"/>
  <sheetViews>
    <sheetView tabSelected="1" topLeftCell="A156" workbookViewId="0">
      <selection activeCell="A160" sqref="A160:D160"/>
    </sheetView>
  </sheetViews>
  <sheetFormatPr defaultRowHeight="15" x14ac:dyDescent="0.25"/>
  <cols>
    <col min="1" max="1" width="12.7109375" customWidth="1"/>
    <col min="2" max="2" width="39.85546875" customWidth="1"/>
    <col min="3" max="3" width="22" customWidth="1"/>
    <col min="4" max="4" width="12.140625" customWidth="1"/>
    <col min="5" max="5" width="21.5703125" customWidth="1"/>
    <col min="6" max="6" width="21.85546875" customWidth="1"/>
    <col min="7" max="7" width="16.7109375" customWidth="1"/>
    <col min="10" max="10" width="22.5703125" customWidth="1"/>
    <col min="11" max="11" width="9.140625" style="2"/>
    <col min="12" max="12" width="24.5703125" style="2" customWidth="1"/>
    <col min="13" max="13" width="20.5703125" style="2" customWidth="1"/>
    <col min="14" max="15" width="9.140625" style="2"/>
  </cols>
  <sheetData>
    <row r="1" spans="1:12" x14ac:dyDescent="0.25">
      <c r="A1" s="4"/>
      <c r="B1" s="4"/>
      <c r="C1" s="4"/>
      <c r="D1" s="4"/>
      <c r="E1" s="4"/>
      <c r="F1" s="4"/>
      <c r="G1" s="4"/>
    </row>
    <row r="2" spans="1:12" x14ac:dyDescent="0.25">
      <c r="A2" s="4"/>
      <c r="B2" s="4"/>
      <c r="C2" s="4"/>
      <c r="D2" s="4"/>
      <c r="E2" s="4"/>
      <c r="F2" s="4"/>
      <c r="G2" s="4"/>
    </row>
    <row r="3" spans="1:12" x14ac:dyDescent="0.25">
      <c r="A3" s="4"/>
      <c r="B3" s="243" t="s">
        <v>205</v>
      </c>
      <c r="C3" s="243"/>
      <c r="D3" s="243"/>
      <c r="E3" s="243"/>
      <c r="F3" s="243"/>
      <c r="G3" s="243"/>
    </row>
    <row r="4" spans="1:12" x14ac:dyDescent="0.25">
      <c r="A4" s="4"/>
      <c r="B4" s="4"/>
      <c r="C4" s="4"/>
      <c r="D4" s="4"/>
      <c r="E4" s="4"/>
      <c r="F4" s="4"/>
      <c r="G4" s="4"/>
    </row>
    <row r="5" spans="1:12" ht="15.75" thickBot="1" x14ac:dyDescent="0.3">
      <c r="A5" s="4"/>
      <c r="B5" s="4"/>
      <c r="C5" s="4"/>
      <c r="D5" s="4"/>
      <c r="E5" s="4"/>
      <c r="F5" s="4"/>
      <c r="G5" s="4"/>
    </row>
    <row r="6" spans="1:12" ht="15.75" thickBot="1" x14ac:dyDescent="0.3">
      <c r="A6" s="235" t="s">
        <v>136</v>
      </c>
      <c r="B6" s="236"/>
      <c r="C6" s="236"/>
      <c r="D6" s="236"/>
      <c r="E6" s="236"/>
      <c r="F6" s="236"/>
      <c r="G6" s="237"/>
    </row>
    <row r="7" spans="1:12" ht="15.75" thickBot="1" x14ac:dyDescent="0.3">
      <c r="A7" s="4"/>
      <c r="B7" s="4"/>
      <c r="C7" s="4"/>
      <c r="D7" s="4"/>
      <c r="E7" s="4"/>
      <c r="F7" s="4"/>
      <c r="G7" s="4"/>
    </row>
    <row r="8" spans="1:12" ht="15.75" thickBot="1" x14ac:dyDescent="0.3">
      <c r="A8" s="55" t="s">
        <v>133</v>
      </c>
      <c r="B8" s="244" t="s">
        <v>13</v>
      </c>
      <c r="C8" s="245"/>
      <c r="D8" s="55" t="s">
        <v>134</v>
      </c>
      <c r="E8" s="55" t="s">
        <v>187</v>
      </c>
      <c r="F8" s="126" t="s">
        <v>188</v>
      </c>
      <c r="G8" s="126" t="s">
        <v>189</v>
      </c>
    </row>
    <row r="9" spans="1:12" x14ac:dyDescent="0.25">
      <c r="A9" s="124" t="s">
        <v>196</v>
      </c>
      <c r="B9" s="246" t="s">
        <v>194</v>
      </c>
      <c r="C9" s="246"/>
      <c r="D9" s="128" t="s">
        <v>182</v>
      </c>
      <c r="E9" s="129">
        <v>10304.56</v>
      </c>
      <c r="F9" s="130">
        <v>9892.3700000000008</v>
      </c>
      <c r="G9" s="130">
        <v>39569.51</v>
      </c>
    </row>
    <row r="10" spans="1:12" ht="15.75" thickBot="1" x14ac:dyDescent="0.3">
      <c r="A10" s="125"/>
      <c r="B10" s="134" t="s">
        <v>179</v>
      </c>
      <c r="C10" s="135"/>
      <c r="D10" s="127"/>
      <c r="E10" s="127"/>
      <c r="F10" s="127"/>
      <c r="G10" s="127"/>
    </row>
    <row r="11" spans="1:12" x14ac:dyDescent="0.25">
      <c r="A11" s="125"/>
      <c r="B11" s="3" t="s">
        <v>180</v>
      </c>
      <c r="C11" s="16"/>
      <c r="D11" s="132" t="s">
        <v>183</v>
      </c>
      <c r="E11" s="140"/>
      <c r="F11" s="127"/>
      <c r="G11" s="127"/>
      <c r="K11" s="136"/>
      <c r="L11" s="137"/>
    </row>
    <row r="12" spans="1:12" ht="15.75" thickBot="1" x14ac:dyDescent="0.3">
      <c r="A12" s="125"/>
      <c r="B12" s="3" t="s">
        <v>181</v>
      </c>
      <c r="C12" s="16"/>
      <c r="D12" s="133">
        <v>0.96</v>
      </c>
      <c r="E12" s="127"/>
      <c r="F12" s="127"/>
      <c r="G12" s="127"/>
    </row>
    <row r="13" spans="1:12" ht="15.75" thickBot="1" x14ac:dyDescent="0.3">
      <c r="A13" s="115"/>
      <c r="B13" s="123" t="s">
        <v>186</v>
      </c>
      <c r="C13" s="123"/>
      <c r="D13" s="115"/>
      <c r="E13" s="115"/>
      <c r="F13" s="115"/>
      <c r="G13" s="115"/>
    </row>
    <row r="14" spans="1:12" ht="15.75" thickBot="1" x14ac:dyDescent="0.3">
      <c r="A14" s="4"/>
      <c r="B14" s="4"/>
      <c r="C14" s="4"/>
      <c r="D14" s="4"/>
      <c r="E14" s="4"/>
      <c r="F14" s="4"/>
      <c r="G14" s="4"/>
    </row>
    <row r="15" spans="1:12" ht="15.75" thickBot="1" x14ac:dyDescent="0.3">
      <c r="A15" s="235" t="s">
        <v>11</v>
      </c>
      <c r="B15" s="236"/>
      <c r="C15" s="236"/>
      <c r="D15" s="236"/>
      <c r="E15" s="236"/>
      <c r="F15" s="236"/>
      <c r="G15" s="237"/>
    </row>
    <row r="16" spans="1:12" ht="15.75" thickBot="1" x14ac:dyDescent="0.3">
      <c r="A16" s="4"/>
      <c r="B16" s="4"/>
      <c r="C16" s="4"/>
      <c r="D16" s="4"/>
      <c r="E16" s="4"/>
      <c r="F16" s="4"/>
      <c r="G16" s="4"/>
    </row>
    <row r="17" spans="1:15" ht="15.75" thickBot="1" x14ac:dyDescent="0.3">
      <c r="A17" s="233" t="s">
        <v>12</v>
      </c>
      <c r="B17" s="234"/>
      <c r="C17" s="234"/>
      <c r="D17" s="234"/>
      <c r="E17" s="234"/>
      <c r="F17" s="234"/>
      <c r="G17" s="78"/>
    </row>
    <row r="18" spans="1:15" ht="15.75" thickBot="1" x14ac:dyDescent="0.3">
      <c r="A18" s="150"/>
      <c r="B18" s="150"/>
      <c r="C18" s="150"/>
      <c r="D18" s="150"/>
      <c r="E18" s="150"/>
      <c r="F18" s="150"/>
      <c r="G18" s="4"/>
    </row>
    <row r="19" spans="1:15" ht="15.75" thickBot="1" x14ac:dyDescent="0.3">
      <c r="A19" s="150" t="s">
        <v>28</v>
      </c>
      <c r="B19" s="156"/>
      <c r="C19" s="146" t="s">
        <v>208</v>
      </c>
      <c r="D19" s="121">
        <v>11304.56</v>
      </c>
      <c r="E19" s="166" t="s">
        <v>209</v>
      </c>
      <c r="F19" s="146" t="s">
        <v>191</v>
      </c>
      <c r="G19" s="141">
        <v>45218.239999999998</v>
      </c>
    </row>
    <row r="20" spans="1:15" ht="15.75" thickBot="1" x14ac:dyDescent="0.3">
      <c r="A20" s="4"/>
      <c r="B20" s="4"/>
      <c r="C20" s="4"/>
      <c r="D20" s="4"/>
      <c r="E20" s="166" t="s">
        <v>207</v>
      </c>
      <c r="F20" s="4"/>
      <c r="G20" s="4"/>
    </row>
    <row r="21" spans="1:15" ht="15.75" thickBot="1" x14ac:dyDescent="0.3">
      <c r="A21" s="55" t="s">
        <v>16</v>
      </c>
      <c r="B21" s="162" t="s">
        <v>13</v>
      </c>
      <c r="C21" s="55" t="s">
        <v>114</v>
      </c>
      <c r="D21" s="162" t="s">
        <v>14</v>
      </c>
      <c r="E21" s="55" t="s">
        <v>135</v>
      </c>
      <c r="F21" s="55" t="s">
        <v>113</v>
      </c>
      <c r="G21" s="163" t="s">
        <v>15</v>
      </c>
      <c r="H21" s="1"/>
    </row>
    <row r="22" spans="1:15" ht="15.75" thickBot="1" x14ac:dyDescent="0.3">
      <c r="A22" s="36" t="s">
        <v>17</v>
      </c>
      <c r="B22" s="57" t="s">
        <v>20</v>
      </c>
      <c r="C22" s="59" t="s">
        <v>18</v>
      </c>
      <c r="D22" s="60" t="s">
        <v>90</v>
      </c>
      <c r="E22" s="61">
        <v>20</v>
      </c>
      <c r="F22" s="64">
        <v>19.399999999999999</v>
      </c>
      <c r="G22" s="63">
        <f>E22*F22</f>
        <v>388</v>
      </c>
    </row>
    <row r="23" spans="1:15" ht="15.75" thickBot="1" x14ac:dyDescent="0.3">
      <c r="A23" s="36" t="s">
        <v>17</v>
      </c>
      <c r="B23" s="57" t="s">
        <v>19</v>
      </c>
      <c r="C23" s="59" t="s">
        <v>18</v>
      </c>
      <c r="D23" s="60" t="s">
        <v>90</v>
      </c>
      <c r="E23" s="61">
        <v>20</v>
      </c>
      <c r="F23" s="64">
        <v>16.8</v>
      </c>
      <c r="G23" s="63">
        <f t="shared" ref="G23:G25" si="0">E23*F23</f>
        <v>336</v>
      </c>
    </row>
    <row r="24" spans="1:15" ht="15.75" thickBot="1" x14ac:dyDescent="0.3">
      <c r="A24" s="36" t="s">
        <v>17</v>
      </c>
      <c r="B24" s="57" t="s">
        <v>23</v>
      </c>
      <c r="C24" s="59" t="s">
        <v>21</v>
      </c>
      <c r="D24" s="60" t="s">
        <v>89</v>
      </c>
      <c r="E24" s="61">
        <v>8</v>
      </c>
      <c r="F24" s="64">
        <v>27.3</v>
      </c>
      <c r="G24" s="63">
        <f t="shared" si="0"/>
        <v>218.4</v>
      </c>
    </row>
    <row r="25" spans="1:15" ht="15.75" thickBot="1" x14ac:dyDescent="0.3">
      <c r="A25" s="36" t="s">
        <v>17</v>
      </c>
      <c r="B25" s="57" t="s">
        <v>24</v>
      </c>
      <c r="C25" s="59" t="s">
        <v>91</v>
      </c>
      <c r="D25" s="60" t="s">
        <v>22</v>
      </c>
      <c r="E25" s="61">
        <v>1</v>
      </c>
      <c r="F25" s="64">
        <v>67.900000000000006</v>
      </c>
      <c r="G25" s="63">
        <f t="shared" si="0"/>
        <v>67.900000000000006</v>
      </c>
    </row>
    <row r="26" spans="1:15" s="4" customFormat="1" ht="12" thickBot="1" x14ac:dyDescent="0.25">
      <c r="A26" s="282" t="s">
        <v>25</v>
      </c>
      <c r="B26" s="283"/>
      <c r="C26" s="283"/>
      <c r="D26" s="283"/>
      <c r="E26" s="283"/>
      <c r="F26" s="283"/>
      <c r="G26" s="107">
        <f>SUM(G22:G25)</f>
        <v>1010.3</v>
      </c>
      <c r="K26" s="3"/>
      <c r="L26" s="3"/>
      <c r="M26" s="3"/>
      <c r="N26" s="3"/>
      <c r="O26" s="3"/>
    </row>
    <row r="27" spans="1:15" s="4" customFormat="1" ht="11.25" x14ac:dyDescent="0.2">
      <c r="A27" s="5"/>
      <c r="B27" s="6"/>
      <c r="C27" s="6"/>
      <c r="D27" s="6"/>
      <c r="E27" s="6"/>
      <c r="F27" s="6"/>
      <c r="G27" s="7"/>
      <c r="K27" s="3"/>
      <c r="L27" s="3"/>
      <c r="M27" s="3"/>
      <c r="N27" s="3"/>
      <c r="O27" s="3"/>
    </row>
    <row r="28" spans="1:15" s="4" customFormat="1" ht="11.25" x14ac:dyDescent="0.2">
      <c r="A28" s="5" t="s">
        <v>27</v>
      </c>
      <c r="B28" s="17"/>
      <c r="C28" s="6"/>
      <c r="D28" s="6"/>
      <c r="E28" s="6"/>
      <c r="F28" s="6"/>
      <c r="G28" s="7"/>
      <c r="K28" s="3"/>
      <c r="L28" s="3"/>
      <c r="M28" s="3"/>
      <c r="N28" s="3"/>
      <c r="O28" s="3"/>
    </row>
    <row r="29" spans="1:15" s="4" customFormat="1" ht="12" thickBot="1" x14ac:dyDescent="0.25">
      <c r="A29" s="5"/>
      <c r="B29" s="6"/>
      <c r="C29" s="6"/>
      <c r="D29" s="6"/>
      <c r="E29" s="6"/>
      <c r="F29" s="6"/>
      <c r="G29" s="7"/>
      <c r="K29" s="3"/>
      <c r="L29" s="3"/>
      <c r="M29" s="3"/>
      <c r="N29" s="3"/>
      <c r="O29" s="3"/>
    </row>
    <row r="30" spans="1:15" s="4" customFormat="1" ht="12" thickBot="1" x14ac:dyDescent="0.25">
      <c r="A30" s="147" t="s">
        <v>16</v>
      </c>
      <c r="B30" s="67" t="s">
        <v>13</v>
      </c>
      <c r="C30" s="148" t="s">
        <v>114</v>
      </c>
      <c r="D30" s="67" t="s">
        <v>14</v>
      </c>
      <c r="E30" s="67" t="s">
        <v>135</v>
      </c>
      <c r="F30" s="148" t="s">
        <v>113</v>
      </c>
      <c r="G30" s="67" t="s">
        <v>15</v>
      </c>
      <c r="K30" s="3"/>
      <c r="L30" s="3"/>
      <c r="M30" s="3"/>
      <c r="N30" s="3"/>
      <c r="O30" s="3"/>
    </row>
    <row r="31" spans="1:15" s="4" customFormat="1" ht="12" thickBot="1" x14ac:dyDescent="0.25">
      <c r="A31" s="118" t="s">
        <v>26</v>
      </c>
      <c r="B31" s="36" t="s">
        <v>185</v>
      </c>
      <c r="C31" s="60" t="s">
        <v>184</v>
      </c>
      <c r="D31" s="59" t="s">
        <v>22</v>
      </c>
      <c r="E31" s="59">
        <v>1</v>
      </c>
      <c r="F31" s="87">
        <v>298.91000000000003</v>
      </c>
      <c r="G31" s="64">
        <f>E31*F31</f>
        <v>298.91000000000003</v>
      </c>
      <c r="K31" s="3"/>
      <c r="L31" s="3"/>
      <c r="M31" s="3"/>
      <c r="N31" s="3"/>
      <c r="O31" s="3"/>
    </row>
    <row r="32" spans="1:15" s="4" customFormat="1" ht="12" thickBot="1" x14ac:dyDescent="0.25">
      <c r="A32" s="282" t="s">
        <v>25</v>
      </c>
      <c r="B32" s="283"/>
      <c r="C32" s="283"/>
      <c r="D32" s="283"/>
      <c r="E32" s="283"/>
      <c r="F32" s="283"/>
      <c r="G32" s="131">
        <f>SUM(G31:G31)</f>
        <v>298.91000000000003</v>
      </c>
      <c r="K32" s="3"/>
      <c r="L32" s="3"/>
      <c r="M32" s="3"/>
      <c r="N32" s="3"/>
      <c r="O32" s="3"/>
    </row>
    <row r="33" spans="1:7" x14ac:dyDescent="0.25">
      <c r="A33" s="3"/>
      <c r="B33" s="3"/>
      <c r="C33" s="8"/>
      <c r="D33" s="8"/>
      <c r="E33" s="8"/>
      <c r="F33" s="9"/>
      <c r="G33" s="9"/>
    </row>
    <row r="34" spans="1:7" x14ac:dyDescent="0.25">
      <c r="A34" s="150" t="s">
        <v>29</v>
      </c>
      <c r="B34" s="156"/>
      <c r="C34" s="150"/>
      <c r="D34" s="150"/>
      <c r="E34" s="150"/>
      <c r="F34" s="150"/>
      <c r="G34" s="4"/>
    </row>
    <row r="35" spans="1:7" ht="15.75" thickBot="1" x14ac:dyDescent="0.3">
      <c r="A35" s="4"/>
      <c r="B35" s="4"/>
      <c r="C35" s="4"/>
      <c r="D35" s="4"/>
      <c r="E35" s="4"/>
      <c r="F35" s="4"/>
      <c r="G35" s="4"/>
    </row>
    <row r="36" spans="1:7" ht="15.75" thickBot="1" x14ac:dyDescent="0.3">
      <c r="A36" s="147" t="s">
        <v>16</v>
      </c>
      <c r="B36" s="67" t="s">
        <v>13</v>
      </c>
      <c r="C36" s="102" t="s">
        <v>114</v>
      </c>
      <c r="D36" s="155" t="s">
        <v>14</v>
      </c>
      <c r="E36" s="67" t="s">
        <v>135</v>
      </c>
      <c r="F36" s="67" t="s">
        <v>113</v>
      </c>
      <c r="G36" s="67" t="s">
        <v>15</v>
      </c>
    </row>
    <row r="37" spans="1:7" ht="15.75" thickBot="1" x14ac:dyDescent="0.3">
      <c r="A37" s="114" t="s">
        <v>30</v>
      </c>
      <c r="B37" s="119" t="s">
        <v>33</v>
      </c>
      <c r="C37" s="103" t="s">
        <v>92</v>
      </c>
      <c r="D37" s="116" t="s">
        <v>34</v>
      </c>
      <c r="E37" s="72">
        <v>40</v>
      </c>
      <c r="F37" s="106">
        <v>33.4</v>
      </c>
      <c r="G37" s="106">
        <f>E37*F37</f>
        <v>1336</v>
      </c>
    </row>
    <row r="38" spans="1:7" ht="15.75" thickBot="1" x14ac:dyDescent="0.3">
      <c r="A38" s="118" t="s">
        <v>30</v>
      </c>
      <c r="B38" s="36" t="s">
        <v>31</v>
      </c>
      <c r="C38" s="58" t="s">
        <v>35</v>
      </c>
      <c r="D38" s="109" t="s">
        <v>36</v>
      </c>
      <c r="E38" s="59">
        <v>2</v>
      </c>
      <c r="F38" s="64">
        <v>47.29</v>
      </c>
      <c r="G38" s="64">
        <f t="shared" ref="G38:G40" si="1">E38*F38</f>
        <v>94.58</v>
      </c>
    </row>
    <row r="39" spans="1:7" ht="15.75" thickBot="1" x14ac:dyDescent="0.3">
      <c r="A39" s="118" t="s">
        <v>30</v>
      </c>
      <c r="B39" s="36" t="s">
        <v>38</v>
      </c>
      <c r="C39" s="58" t="s">
        <v>37</v>
      </c>
      <c r="D39" s="109" t="s">
        <v>39</v>
      </c>
      <c r="E39" s="59">
        <v>5</v>
      </c>
      <c r="F39" s="64">
        <v>7.6</v>
      </c>
      <c r="G39" s="64">
        <f t="shared" si="1"/>
        <v>38</v>
      </c>
    </row>
    <row r="40" spans="1:7" ht="15.75" thickBot="1" x14ac:dyDescent="0.3">
      <c r="A40" s="114" t="s">
        <v>30</v>
      </c>
      <c r="B40" s="115" t="s">
        <v>32</v>
      </c>
      <c r="C40" s="103" t="s">
        <v>37</v>
      </c>
      <c r="D40" s="116" t="s">
        <v>39</v>
      </c>
      <c r="E40" s="72">
        <v>10</v>
      </c>
      <c r="F40" s="117">
        <v>7.1</v>
      </c>
      <c r="G40" s="106">
        <f t="shared" si="1"/>
        <v>71</v>
      </c>
    </row>
    <row r="41" spans="1:7" ht="15.75" thickBot="1" x14ac:dyDescent="0.3">
      <c r="A41" s="280" t="s">
        <v>25</v>
      </c>
      <c r="B41" s="281"/>
      <c r="C41" s="281"/>
      <c r="D41" s="281"/>
      <c r="E41" s="281"/>
      <c r="F41" s="281"/>
      <c r="G41" s="107">
        <f>SUM(G37:G40)</f>
        <v>1539.58</v>
      </c>
    </row>
    <row r="42" spans="1:7" ht="15.75" thickBot="1" x14ac:dyDescent="0.3"/>
    <row r="43" spans="1:7" ht="15.75" thickBot="1" x14ac:dyDescent="0.3">
      <c r="A43" s="39" t="s">
        <v>129</v>
      </c>
      <c r="B43" s="112"/>
      <c r="C43" s="112"/>
      <c r="D43" s="112"/>
      <c r="E43" s="112"/>
      <c r="F43" s="112"/>
      <c r="G43" s="95">
        <f>G26+G32+G41</f>
        <v>2848.79</v>
      </c>
    </row>
    <row r="44" spans="1:7" ht="15.75" thickBot="1" x14ac:dyDescent="0.3"/>
    <row r="45" spans="1:7" ht="15.75" thickBot="1" x14ac:dyDescent="0.3">
      <c r="A45" s="233" t="s">
        <v>40</v>
      </c>
      <c r="B45" s="234"/>
      <c r="C45" s="234"/>
      <c r="D45" s="234"/>
      <c r="E45" s="234"/>
      <c r="F45" s="234"/>
      <c r="G45" s="78"/>
    </row>
    <row r="46" spans="1:7" ht="15.75" thickBot="1" x14ac:dyDescent="0.3"/>
    <row r="47" spans="1:7" x14ac:dyDescent="0.25">
      <c r="A47" s="286" t="s">
        <v>13</v>
      </c>
      <c r="B47" s="287"/>
      <c r="C47" s="65" t="s">
        <v>41</v>
      </c>
      <c r="D47" s="164" t="s">
        <v>14</v>
      </c>
      <c r="E47" s="65" t="s">
        <v>135</v>
      </c>
      <c r="F47" s="164" t="s">
        <v>113</v>
      </c>
      <c r="G47" s="65" t="s">
        <v>15</v>
      </c>
    </row>
    <row r="48" spans="1:7" ht="15.75" thickBot="1" x14ac:dyDescent="0.3">
      <c r="A48" s="288" t="s">
        <v>44</v>
      </c>
      <c r="B48" s="289"/>
      <c r="C48" s="111" t="s">
        <v>43</v>
      </c>
      <c r="D48" s="84" t="s">
        <v>42</v>
      </c>
      <c r="E48" s="111">
        <v>2</v>
      </c>
      <c r="F48" s="85">
        <f>51.58/36</f>
        <v>1.4327777777777777</v>
      </c>
      <c r="G48" s="108">
        <f>E48*F48</f>
        <v>2.8655555555555554</v>
      </c>
    </row>
    <row r="49" spans="1:9" ht="15.75" thickBot="1" x14ac:dyDescent="0.3">
      <c r="A49" s="247" t="s">
        <v>46</v>
      </c>
      <c r="B49" s="264"/>
      <c r="C49" s="59" t="s">
        <v>43</v>
      </c>
      <c r="D49" s="60" t="s">
        <v>42</v>
      </c>
      <c r="E49" s="59">
        <v>2</v>
      </c>
      <c r="F49" s="87">
        <f>345.58/35</f>
        <v>9.8737142857142857</v>
      </c>
      <c r="G49" s="64">
        <f t="shared" ref="G49:G51" si="2">E49*F49</f>
        <v>19.747428571428571</v>
      </c>
    </row>
    <row r="50" spans="1:9" ht="15.75" thickBot="1" x14ac:dyDescent="0.3">
      <c r="A50" s="247" t="s">
        <v>45</v>
      </c>
      <c r="B50" s="264"/>
      <c r="C50" s="59" t="s">
        <v>43</v>
      </c>
      <c r="D50" s="60" t="s">
        <v>42</v>
      </c>
      <c r="E50" s="72">
        <v>2</v>
      </c>
      <c r="F50" s="87">
        <f>2511.85/36</f>
        <v>69.773611111111109</v>
      </c>
      <c r="G50" s="64">
        <f t="shared" si="2"/>
        <v>139.54722222222222</v>
      </c>
    </row>
    <row r="51" spans="1:9" ht="15" customHeight="1" thickBot="1" x14ac:dyDescent="0.3">
      <c r="A51" s="284" t="s">
        <v>47</v>
      </c>
      <c r="B51" s="285"/>
      <c r="C51" s="73" t="s">
        <v>43</v>
      </c>
      <c r="D51" s="92" t="s">
        <v>42</v>
      </c>
      <c r="E51" s="59">
        <v>2</v>
      </c>
      <c r="F51" s="93">
        <f>11298.4/36</f>
        <v>313.84444444444443</v>
      </c>
      <c r="G51" s="64">
        <f t="shared" si="2"/>
        <v>627.68888888888887</v>
      </c>
    </row>
    <row r="52" spans="1:9" ht="15" customHeight="1" thickBot="1" x14ac:dyDescent="0.3">
      <c r="A52" s="282" t="s">
        <v>25</v>
      </c>
      <c r="B52" s="283"/>
      <c r="C52" s="283"/>
      <c r="D52" s="283"/>
      <c r="E52" s="283"/>
      <c r="F52" s="283"/>
      <c r="G52" s="131">
        <f>SUM(G48:G51)</f>
        <v>789.84909523809517</v>
      </c>
    </row>
    <row r="53" spans="1:9" ht="15.75" thickBot="1" x14ac:dyDescent="0.3"/>
    <row r="54" spans="1:9" ht="15.75" thickBot="1" x14ac:dyDescent="0.3">
      <c r="A54" s="39" t="s">
        <v>130</v>
      </c>
      <c r="B54" s="94"/>
      <c r="C54" s="94"/>
      <c r="D54" s="94"/>
      <c r="E54" s="94"/>
      <c r="F54" s="94"/>
      <c r="G54" s="95">
        <f>G52</f>
        <v>789.84909523809517</v>
      </c>
    </row>
    <row r="55" spans="1:9" ht="15.75" thickBot="1" x14ac:dyDescent="0.3">
      <c r="I55" s="13" t="s">
        <v>48</v>
      </c>
    </row>
    <row r="56" spans="1:9" ht="15.75" thickBot="1" x14ac:dyDescent="0.3">
      <c r="A56" s="233" t="s">
        <v>49</v>
      </c>
      <c r="B56" s="234"/>
      <c r="C56" s="234"/>
      <c r="D56" s="234"/>
      <c r="E56" s="234"/>
      <c r="F56" s="234"/>
      <c r="G56" s="78"/>
    </row>
    <row r="57" spans="1:9" ht="15.75" thickBot="1" x14ac:dyDescent="0.3"/>
    <row r="58" spans="1:9" ht="15.75" thickBot="1" x14ac:dyDescent="0.3">
      <c r="A58" s="235" t="s">
        <v>13</v>
      </c>
      <c r="B58" s="237"/>
      <c r="C58" s="148" t="s">
        <v>41</v>
      </c>
      <c r="D58" s="67" t="s">
        <v>14</v>
      </c>
      <c r="E58" s="148" t="s">
        <v>135</v>
      </c>
      <c r="F58" s="67" t="s">
        <v>113</v>
      </c>
      <c r="G58" s="149" t="s">
        <v>15</v>
      </c>
    </row>
    <row r="59" spans="1:9" ht="15.75" thickBot="1" x14ac:dyDescent="0.3">
      <c r="A59" s="296" t="s">
        <v>54</v>
      </c>
      <c r="B59" s="264"/>
      <c r="C59" s="60" t="s">
        <v>55</v>
      </c>
      <c r="D59" s="59" t="s">
        <v>42</v>
      </c>
      <c r="E59" s="60">
        <v>4</v>
      </c>
      <c r="F59" s="64">
        <f>11.9/24</f>
        <v>0.49583333333333335</v>
      </c>
      <c r="G59" s="63">
        <v>19.59</v>
      </c>
    </row>
    <row r="60" spans="1:9" ht="15.75" thickBot="1" x14ac:dyDescent="0.3">
      <c r="A60" s="247" t="s">
        <v>52</v>
      </c>
      <c r="B60" s="264"/>
      <c r="C60" s="60" t="s">
        <v>53</v>
      </c>
      <c r="D60" s="59" t="s">
        <v>42</v>
      </c>
      <c r="E60" s="60">
        <v>4</v>
      </c>
      <c r="F60" s="64">
        <f>20/12</f>
        <v>1.6666666666666667</v>
      </c>
      <c r="G60" s="63">
        <f t="shared" ref="G60:G62" si="3">E60*F60</f>
        <v>6.666666666666667</v>
      </c>
    </row>
    <row r="61" spans="1:9" ht="15.75" thickBot="1" x14ac:dyDescent="0.3">
      <c r="A61" s="251" t="s">
        <v>51</v>
      </c>
      <c r="B61" s="297"/>
      <c r="C61" s="8" t="s">
        <v>50</v>
      </c>
      <c r="D61" s="72" t="s">
        <v>42</v>
      </c>
      <c r="E61" s="60">
        <v>4</v>
      </c>
      <c r="F61" s="106">
        <f>266/60</f>
        <v>4.4333333333333336</v>
      </c>
      <c r="G61" s="63">
        <f t="shared" si="3"/>
        <v>17.733333333333334</v>
      </c>
    </row>
    <row r="62" spans="1:9" ht="15.75" thickBot="1" x14ac:dyDescent="0.3">
      <c r="A62" s="151" t="s">
        <v>56</v>
      </c>
      <c r="B62" s="157"/>
      <c r="C62" s="60" t="s">
        <v>57</v>
      </c>
      <c r="D62" s="59" t="s">
        <v>42</v>
      </c>
      <c r="E62" s="60">
        <v>4</v>
      </c>
      <c r="F62" s="64">
        <v>19.899999999999999</v>
      </c>
      <c r="G62" s="63">
        <f t="shared" si="3"/>
        <v>79.599999999999994</v>
      </c>
    </row>
    <row r="63" spans="1:9" ht="15.75" thickBot="1" x14ac:dyDescent="0.3">
      <c r="A63" s="282" t="s">
        <v>25</v>
      </c>
      <c r="B63" s="283"/>
      <c r="C63" s="283"/>
      <c r="D63" s="283"/>
      <c r="E63" s="283"/>
      <c r="F63" s="283"/>
      <c r="G63" s="107">
        <f>SUM(G59:G62)</f>
        <v>123.59</v>
      </c>
    </row>
    <row r="64" spans="1:9" ht="15.75" thickBot="1" x14ac:dyDescent="0.3"/>
    <row r="65" spans="1:7" ht="15.75" thickBot="1" x14ac:dyDescent="0.3">
      <c r="A65" s="39" t="s">
        <v>131</v>
      </c>
      <c r="B65" s="94"/>
      <c r="C65" s="94"/>
      <c r="D65" s="94"/>
      <c r="E65" s="94"/>
      <c r="F65" s="94"/>
      <c r="G65" s="95">
        <v>105.1</v>
      </c>
    </row>
    <row r="66" spans="1:7" ht="15.75" thickBot="1" x14ac:dyDescent="0.3">
      <c r="A66" s="11"/>
      <c r="G66" s="12"/>
    </row>
    <row r="67" spans="1:7" ht="15.75" thickBot="1" x14ac:dyDescent="0.3">
      <c r="A67" s="233" t="s">
        <v>62</v>
      </c>
      <c r="B67" s="234"/>
      <c r="C67" s="234"/>
      <c r="D67" s="234"/>
      <c r="E67" s="234"/>
      <c r="F67" s="234"/>
      <c r="G67" s="78"/>
    </row>
    <row r="68" spans="1:7" ht="15.75" thickBot="1" x14ac:dyDescent="0.3"/>
    <row r="69" spans="1:7" x14ac:dyDescent="0.25">
      <c r="A69" s="286" t="s">
        <v>13</v>
      </c>
      <c r="B69" s="309"/>
      <c r="C69" s="65" t="s">
        <v>41</v>
      </c>
      <c r="D69" s="65" t="s">
        <v>14</v>
      </c>
      <c r="E69" s="65" t="s">
        <v>135</v>
      </c>
      <c r="F69" s="65" t="s">
        <v>113</v>
      </c>
      <c r="G69" s="161" t="s">
        <v>15</v>
      </c>
    </row>
    <row r="70" spans="1:7" ht="15.75" thickBot="1" x14ac:dyDescent="0.3">
      <c r="A70" s="310" t="s">
        <v>64</v>
      </c>
      <c r="B70" s="311"/>
      <c r="C70" s="97" t="s">
        <v>63</v>
      </c>
      <c r="D70" s="97" t="s">
        <v>42</v>
      </c>
      <c r="E70" s="97">
        <v>4</v>
      </c>
      <c r="F70" s="101">
        <f>5965.66/6</f>
        <v>994.27666666666664</v>
      </c>
      <c r="G70" s="90">
        <f>E70*F70</f>
        <v>3977.1066666666666</v>
      </c>
    </row>
    <row r="71" spans="1:7" ht="15.75" thickBot="1" x14ac:dyDescent="0.3">
      <c r="A71" s="98" t="s">
        <v>25</v>
      </c>
      <c r="B71" s="99"/>
      <c r="C71" s="96"/>
      <c r="D71" s="96"/>
      <c r="E71" s="96"/>
      <c r="F71" s="96"/>
      <c r="G71" s="107">
        <f>SUM(G70:G70)</f>
        <v>3977.1066666666666</v>
      </c>
    </row>
    <row r="72" spans="1:7" ht="15.75" thickBot="1" x14ac:dyDescent="0.3"/>
    <row r="73" spans="1:7" ht="15.75" thickBot="1" x14ac:dyDescent="0.3">
      <c r="A73" s="39" t="s">
        <v>132</v>
      </c>
      <c r="B73" s="94"/>
      <c r="C73" s="94"/>
      <c r="D73" s="94"/>
      <c r="E73" s="94"/>
      <c r="F73" s="94"/>
      <c r="G73" s="95">
        <f>G71</f>
        <v>3977.1066666666666</v>
      </c>
    </row>
    <row r="74" spans="1:7" ht="15.75" thickBot="1" x14ac:dyDescent="0.3"/>
    <row r="75" spans="1:7" ht="15.75" thickBot="1" x14ac:dyDescent="0.3">
      <c r="A75" s="233" t="s">
        <v>65</v>
      </c>
      <c r="B75" s="234"/>
      <c r="C75" s="234"/>
      <c r="D75" s="234"/>
      <c r="E75" s="234"/>
      <c r="F75" s="234"/>
      <c r="G75" s="78"/>
    </row>
    <row r="76" spans="1:7" x14ac:dyDescent="0.25">
      <c r="A76" s="150"/>
      <c r="B76" s="150"/>
      <c r="C76" s="150"/>
      <c r="D76" s="150"/>
      <c r="E76" s="150"/>
      <c r="F76" s="150"/>
      <c r="G76" s="4"/>
    </row>
    <row r="77" spans="1:7" x14ac:dyDescent="0.25">
      <c r="A77" s="263" t="s">
        <v>70</v>
      </c>
      <c r="B77" s="263"/>
      <c r="C77" s="150"/>
      <c r="D77" s="150"/>
      <c r="E77" s="150"/>
      <c r="F77" s="150"/>
      <c r="G77" s="4"/>
    </row>
    <row r="78" spans="1:7" ht="15.75" thickBot="1" x14ac:dyDescent="0.3"/>
    <row r="79" spans="1:7" ht="15.75" thickBot="1" x14ac:dyDescent="0.3">
      <c r="A79" s="303" t="s">
        <v>72</v>
      </c>
      <c r="B79" s="304"/>
      <c r="C79" s="304"/>
      <c r="D79" s="304"/>
      <c r="E79" s="304"/>
      <c r="F79" s="304"/>
      <c r="G79" s="305"/>
    </row>
    <row r="80" spans="1:7" ht="15.75" thickBot="1" x14ac:dyDescent="0.3">
      <c r="A80" s="247" t="s">
        <v>58</v>
      </c>
      <c r="B80" s="248"/>
      <c r="C80" s="260">
        <f xml:space="preserve"> C85*2989.47</f>
        <v>11957.88</v>
      </c>
      <c r="D80" s="261"/>
      <c r="E80" s="261"/>
      <c r="F80" s="261"/>
      <c r="G80" s="262"/>
    </row>
    <row r="81" spans="1:7" ht="15.75" thickBot="1" x14ac:dyDescent="0.3">
      <c r="A81" s="251" t="s">
        <v>59</v>
      </c>
      <c r="B81" s="252"/>
      <c r="C81" s="306">
        <f xml:space="preserve"> C85*282.4</f>
        <v>1129.5999999999999</v>
      </c>
      <c r="D81" s="307"/>
      <c r="E81" s="307"/>
      <c r="F81" s="307"/>
      <c r="G81" s="308"/>
    </row>
    <row r="82" spans="1:7" ht="15.75" thickBot="1" x14ac:dyDescent="0.3">
      <c r="A82" s="247" t="s">
        <v>60</v>
      </c>
      <c r="B82" s="248"/>
      <c r="C82" s="247" t="s">
        <v>61</v>
      </c>
      <c r="D82" s="248"/>
      <c r="E82" s="248"/>
      <c r="F82" s="248"/>
      <c r="G82" s="264"/>
    </row>
    <row r="83" spans="1:7" ht="15.75" thickBot="1" x14ac:dyDescent="0.3">
      <c r="A83" s="151" t="s">
        <v>66</v>
      </c>
      <c r="B83" s="152"/>
      <c r="C83" s="247" t="s">
        <v>67</v>
      </c>
      <c r="D83" s="248"/>
      <c r="E83" s="248"/>
      <c r="F83" s="248"/>
      <c r="G83" s="264"/>
    </row>
    <row r="84" spans="1:7" ht="15.75" thickBot="1" x14ac:dyDescent="0.3">
      <c r="A84" s="151" t="s">
        <v>68</v>
      </c>
      <c r="B84" s="152"/>
      <c r="C84" s="265" t="s">
        <v>69</v>
      </c>
      <c r="D84" s="266"/>
      <c r="E84" s="266"/>
      <c r="F84" s="266"/>
      <c r="G84" s="267"/>
    </row>
    <row r="85" spans="1:7" ht="15.75" thickBot="1" x14ac:dyDescent="0.3">
      <c r="A85" s="151" t="s">
        <v>71</v>
      </c>
      <c r="B85" s="152"/>
      <c r="C85" s="160">
        <v>4</v>
      </c>
      <c r="D85" s="60"/>
      <c r="E85" s="60"/>
      <c r="F85" s="87"/>
      <c r="G85" s="63"/>
    </row>
    <row r="86" spans="1:7" ht="15.75" thickBot="1" x14ac:dyDescent="0.3">
      <c r="A86" s="298" t="s">
        <v>76</v>
      </c>
      <c r="B86" s="299"/>
      <c r="C86" s="299"/>
      <c r="D86" s="299"/>
      <c r="E86" s="299"/>
      <c r="F86" s="299"/>
      <c r="G86" s="300"/>
    </row>
    <row r="87" spans="1:7" ht="15.75" thickBot="1" x14ac:dyDescent="0.3">
      <c r="A87" s="225" t="s">
        <v>74</v>
      </c>
      <c r="B87" s="226"/>
      <c r="C87" s="293">
        <f xml:space="preserve"> C80*20%</f>
        <v>2391.576</v>
      </c>
      <c r="D87" s="294"/>
      <c r="E87" s="294"/>
      <c r="F87" s="294"/>
      <c r="G87" s="295"/>
    </row>
    <row r="88" spans="1:7" ht="15.75" thickBot="1" x14ac:dyDescent="0.3">
      <c r="A88" s="222" t="s">
        <v>73</v>
      </c>
      <c r="B88" s="223"/>
      <c r="C88" s="290">
        <f xml:space="preserve"> C80*8%</f>
        <v>956.63040000000001</v>
      </c>
      <c r="D88" s="291"/>
      <c r="E88" s="291"/>
      <c r="F88" s="291"/>
      <c r="G88" s="292"/>
    </row>
    <row r="89" spans="1:7" ht="15.75" thickBot="1" x14ac:dyDescent="0.3">
      <c r="A89" s="225" t="s">
        <v>75</v>
      </c>
      <c r="B89" s="226"/>
      <c r="C89" s="293">
        <f xml:space="preserve"> C80*3%</f>
        <v>358.73639999999995</v>
      </c>
      <c r="D89" s="294"/>
      <c r="E89" s="294"/>
      <c r="F89" s="294"/>
      <c r="G89" s="295"/>
    </row>
    <row r="90" spans="1:7" ht="15.75" thickBot="1" x14ac:dyDescent="0.3">
      <c r="A90" s="301" t="s">
        <v>82</v>
      </c>
      <c r="B90" s="302"/>
      <c r="C90" s="312">
        <f>SUM(C87:C89)</f>
        <v>3706.9427999999998</v>
      </c>
      <c r="D90" s="313"/>
      <c r="E90" s="313"/>
      <c r="F90" s="313"/>
      <c r="G90" s="314"/>
    </row>
    <row r="91" spans="1:7" ht="15.75" thickBot="1" x14ac:dyDescent="0.3">
      <c r="A91" s="318" t="s">
        <v>93</v>
      </c>
      <c r="B91" s="319"/>
      <c r="C91" s="319"/>
      <c r="D91" s="319"/>
      <c r="E91" s="319"/>
      <c r="F91" s="319"/>
      <c r="G91" s="320"/>
    </row>
    <row r="92" spans="1:7" ht="15.75" thickBot="1" x14ac:dyDescent="0.3">
      <c r="A92" s="247" t="s">
        <v>77</v>
      </c>
      <c r="B92" s="264"/>
      <c r="C92" s="260">
        <f>C80*8.33%</f>
        <v>996.0914039999999</v>
      </c>
      <c r="D92" s="248"/>
      <c r="E92" s="248"/>
      <c r="F92" s="248"/>
      <c r="G92" s="264"/>
    </row>
    <row r="93" spans="1:7" ht="15.75" thickBot="1" x14ac:dyDescent="0.3">
      <c r="A93" s="247" t="s">
        <v>78</v>
      </c>
      <c r="B93" s="264"/>
      <c r="C93" s="260">
        <f>C80*8.33%</f>
        <v>996.0914039999999</v>
      </c>
      <c r="D93" s="248"/>
      <c r="E93" s="248"/>
      <c r="F93" s="248"/>
      <c r="G93" s="264"/>
    </row>
    <row r="94" spans="1:7" ht="15.75" thickBot="1" x14ac:dyDescent="0.3">
      <c r="A94" s="321" t="s">
        <v>79</v>
      </c>
      <c r="B94" s="322"/>
      <c r="C94" s="260">
        <f>C80*2.73%</f>
        <v>326.45012400000002</v>
      </c>
      <c r="D94" s="248"/>
      <c r="E94" s="248"/>
      <c r="F94" s="248"/>
      <c r="G94" s="264"/>
    </row>
    <row r="95" spans="1:7" ht="15.75" thickBot="1" x14ac:dyDescent="0.3">
      <c r="A95" s="321" t="s">
        <v>80</v>
      </c>
      <c r="B95" s="322"/>
      <c r="C95" s="260">
        <f>C80*1.66%*C85</f>
        <v>794.00323199999991</v>
      </c>
      <c r="D95" s="248"/>
      <c r="E95" s="248"/>
      <c r="F95" s="248"/>
      <c r="G95" s="264"/>
    </row>
    <row r="96" spans="1:7" ht="15.75" thickBot="1" x14ac:dyDescent="0.3">
      <c r="A96" s="321" t="s">
        <v>81</v>
      </c>
      <c r="B96" s="322"/>
      <c r="C96" s="260">
        <f>C80*0.1%</f>
        <v>11.957879999999999</v>
      </c>
      <c r="D96" s="248"/>
      <c r="E96" s="248"/>
      <c r="F96" s="248"/>
      <c r="G96" s="264"/>
    </row>
    <row r="97" spans="1:15" ht="15.75" thickBot="1" x14ac:dyDescent="0.3">
      <c r="A97" s="321" t="s">
        <v>83</v>
      </c>
      <c r="B97" s="322"/>
      <c r="C97" s="260">
        <f>C80*0.28%</f>
        <v>33.482064000000001</v>
      </c>
      <c r="D97" s="248"/>
      <c r="E97" s="248"/>
      <c r="F97" s="248"/>
      <c r="G97" s="264"/>
    </row>
    <row r="98" spans="1:15" ht="15.75" thickBot="1" x14ac:dyDescent="0.3">
      <c r="A98" s="321" t="s">
        <v>84</v>
      </c>
      <c r="B98" s="322"/>
      <c r="C98" s="260">
        <f>C80*0.03%*C85</f>
        <v>14.349455999999998</v>
      </c>
      <c r="D98" s="248"/>
      <c r="E98" s="248"/>
      <c r="F98" s="248"/>
      <c r="G98" s="264"/>
    </row>
    <row r="99" spans="1:15" ht="15.75" thickBot="1" x14ac:dyDescent="0.3">
      <c r="A99" s="325" t="s">
        <v>95</v>
      </c>
      <c r="B99" s="332"/>
      <c r="C99" s="315">
        <f>SUM(C92:G98)</f>
        <v>3172.4255639999997</v>
      </c>
      <c r="D99" s="281"/>
      <c r="E99" s="281"/>
      <c r="F99" s="281"/>
      <c r="G99" s="316"/>
      <c r="K99" s="223"/>
      <c r="L99" s="278"/>
      <c r="M99" s="159"/>
      <c r="N99" s="19"/>
      <c r="O99" s="20"/>
    </row>
    <row r="100" spans="1:15" ht="15.75" thickBot="1" x14ac:dyDescent="0.3">
      <c r="A100" s="318" t="s">
        <v>94</v>
      </c>
      <c r="B100" s="319"/>
      <c r="C100" s="319"/>
      <c r="D100" s="319"/>
      <c r="E100" s="319"/>
      <c r="F100" s="319"/>
      <c r="G100" s="320"/>
      <c r="K100" s="158"/>
      <c r="L100" s="158"/>
      <c r="M100" s="159"/>
      <c r="N100" s="19"/>
      <c r="O100" s="20"/>
    </row>
    <row r="101" spans="1:15" ht="15.75" thickBot="1" x14ac:dyDescent="0.3">
      <c r="A101" s="225" t="s">
        <v>96</v>
      </c>
      <c r="B101" s="226"/>
      <c r="C101" s="260">
        <f>C80*0.69%</f>
        <v>82.509371999999999</v>
      </c>
      <c r="D101" s="261"/>
      <c r="E101" s="261"/>
      <c r="F101" s="261"/>
      <c r="G101" s="262"/>
      <c r="K101" s="158"/>
      <c r="L101" s="158"/>
      <c r="M101" s="159"/>
      <c r="N101" s="19"/>
      <c r="O101" s="20"/>
    </row>
    <row r="102" spans="1:15" ht="15.75" thickBot="1" x14ac:dyDescent="0.3">
      <c r="A102" s="222" t="s">
        <v>97</v>
      </c>
      <c r="B102" s="278"/>
      <c r="C102" s="306">
        <f>C80*0.08%</f>
        <v>9.5663040000000006</v>
      </c>
      <c r="D102" s="307"/>
      <c r="E102" s="307"/>
      <c r="F102" s="307"/>
      <c r="G102" s="308"/>
      <c r="K102" s="158"/>
      <c r="L102" s="158"/>
      <c r="M102" s="159"/>
      <c r="N102" s="19"/>
      <c r="O102" s="20"/>
    </row>
    <row r="103" spans="1:15" ht="15.75" thickBot="1" x14ac:dyDescent="0.3">
      <c r="A103" s="225" t="s">
        <v>98</v>
      </c>
      <c r="B103" s="259"/>
      <c r="C103" s="260">
        <f>C80*3%</f>
        <v>358.73639999999995</v>
      </c>
      <c r="D103" s="261"/>
      <c r="E103" s="261"/>
      <c r="F103" s="261"/>
      <c r="G103" s="262"/>
      <c r="K103" s="158"/>
      <c r="L103" s="158"/>
      <c r="M103" s="159"/>
      <c r="N103" s="19"/>
      <c r="O103" s="20"/>
    </row>
    <row r="104" spans="1:15" ht="15.75" thickBot="1" x14ac:dyDescent="0.3">
      <c r="A104" s="225" t="s">
        <v>106</v>
      </c>
      <c r="B104" s="259"/>
      <c r="C104" s="260">
        <f>C80*0.8%</f>
        <v>95.663039999999995</v>
      </c>
      <c r="D104" s="261"/>
      <c r="E104" s="261"/>
      <c r="F104" s="261"/>
      <c r="G104" s="262"/>
      <c r="K104" s="158"/>
      <c r="L104" s="158"/>
      <c r="M104" s="159"/>
      <c r="N104" s="19"/>
      <c r="O104" s="20"/>
    </row>
    <row r="105" spans="1:15" ht="15.75" thickBot="1" x14ac:dyDescent="0.3">
      <c r="A105" s="323" t="s">
        <v>99</v>
      </c>
      <c r="B105" s="324"/>
      <c r="C105" s="327">
        <f>SUM(C101:G104)</f>
        <v>546.47511599999996</v>
      </c>
      <c r="D105" s="328"/>
      <c r="E105" s="328"/>
      <c r="F105" s="328"/>
      <c r="G105" s="329"/>
      <c r="K105" s="158"/>
      <c r="L105" s="158"/>
      <c r="M105" s="159"/>
      <c r="N105" s="19"/>
      <c r="O105" s="20"/>
    </row>
    <row r="106" spans="1:15" ht="15.75" thickBot="1" x14ac:dyDescent="0.3">
      <c r="A106" s="318" t="s">
        <v>100</v>
      </c>
      <c r="B106" s="319"/>
      <c r="C106" s="319"/>
      <c r="D106" s="319"/>
      <c r="E106" s="319"/>
      <c r="F106" s="319"/>
      <c r="G106" s="320"/>
      <c r="K106" s="158"/>
      <c r="L106" s="158"/>
      <c r="M106" s="159"/>
      <c r="N106" s="19"/>
      <c r="O106" s="20"/>
    </row>
    <row r="107" spans="1:15" ht="15.75" thickBot="1" x14ac:dyDescent="0.3">
      <c r="A107" s="225" t="s">
        <v>105</v>
      </c>
      <c r="B107" s="259"/>
      <c r="C107" s="260">
        <f>C80*7.91%</f>
        <v>945.86830799999996</v>
      </c>
      <c r="D107" s="261"/>
      <c r="E107" s="261"/>
      <c r="F107" s="261"/>
      <c r="G107" s="262"/>
      <c r="K107" s="158"/>
      <c r="L107" s="158"/>
      <c r="M107" s="159"/>
      <c r="N107" s="19"/>
      <c r="O107" s="20"/>
    </row>
    <row r="108" spans="1:15" ht="15.75" thickBot="1" x14ac:dyDescent="0.3">
      <c r="A108" s="225" t="s">
        <v>101</v>
      </c>
      <c r="B108" s="259"/>
      <c r="C108" s="260">
        <f>C80*0.01%</f>
        <v>1.1957880000000001</v>
      </c>
      <c r="D108" s="261"/>
      <c r="E108" s="261"/>
      <c r="F108" s="261"/>
      <c r="G108" s="262"/>
      <c r="K108" s="158"/>
      <c r="L108" s="158"/>
      <c r="M108" s="159"/>
      <c r="N108" s="19"/>
      <c r="O108" s="20"/>
    </row>
    <row r="109" spans="1:15" ht="15.75" thickBot="1" x14ac:dyDescent="0.3">
      <c r="A109" s="225" t="s">
        <v>102</v>
      </c>
      <c r="B109" s="259"/>
      <c r="C109" s="260">
        <f>C80*0.01%</f>
        <v>1.1957880000000001</v>
      </c>
      <c r="D109" s="261"/>
      <c r="E109" s="261"/>
      <c r="F109" s="261"/>
      <c r="G109" s="262"/>
      <c r="K109" s="158"/>
      <c r="L109" s="158"/>
      <c r="M109" s="159"/>
      <c r="N109" s="19"/>
      <c r="O109" s="20"/>
    </row>
    <row r="110" spans="1:15" ht="15.75" thickBot="1" x14ac:dyDescent="0.3">
      <c r="A110" s="325" t="s">
        <v>103</v>
      </c>
      <c r="B110" s="326"/>
      <c r="C110" s="260">
        <f>SUM(C107:G109)</f>
        <v>948.25988399999994</v>
      </c>
      <c r="D110" s="261"/>
      <c r="E110" s="261"/>
      <c r="F110" s="261"/>
      <c r="G110" s="262"/>
      <c r="K110" s="158"/>
      <c r="L110" s="158"/>
      <c r="M110" s="159"/>
      <c r="N110" s="19"/>
      <c r="O110" s="20"/>
    </row>
    <row r="111" spans="1:15" ht="15.75" thickBot="1" x14ac:dyDescent="0.3">
      <c r="A111" s="268" t="s">
        <v>104</v>
      </c>
      <c r="B111" s="317"/>
      <c r="C111" s="270">
        <f>C90+C99+C105+C110</f>
        <v>8374.1033639999987</v>
      </c>
      <c r="D111" s="271"/>
      <c r="E111" s="271"/>
      <c r="F111" s="271"/>
      <c r="G111" s="272"/>
      <c r="K111" s="278"/>
      <c r="L111" s="278"/>
      <c r="M111" s="159"/>
      <c r="N111" s="19"/>
      <c r="O111" s="20"/>
    </row>
    <row r="112" spans="1:15" ht="15.75" thickBot="1" x14ac:dyDescent="0.3">
      <c r="A112" s="333" t="s">
        <v>85</v>
      </c>
      <c r="B112" s="334"/>
      <c r="C112" s="270">
        <f>C80 +C111</f>
        <v>20331.983364</v>
      </c>
      <c r="D112" s="271"/>
      <c r="E112" s="271"/>
      <c r="F112" s="271"/>
      <c r="G112" s="272"/>
      <c r="K112" s="278"/>
      <c r="L112" s="278"/>
      <c r="M112" s="159"/>
      <c r="N112" s="19"/>
      <c r="O112" s="20"/>
    </row>
    <row r="113" spans="1:15" ht="15.75" thickBot="1" x14ac:dyDescent="0.3">
      <c r="A113" s="268" t="s">
        <v>86</v>
      </c>
      <c r="B113" s="317"/>
      <c r="C113" s="270">
        <f>C112/220</f>
        <v>92.418106199999997</v>
      </c>
      <c r="D113" s="273"/>
      <c r="E113" s="273"/>
      <c r="F113" s="273"/>
      <c r="G113" s="274"/>
      <c r="K113" s="278"/>
      <c r="L113" s="278"/>
      <c r="M113" s="159"/>
      <c r="N113" s="19"/>
      <c r="O113" s="20"/>
    </row>
    <row r="114" spans="1:15" ht="15.75" thickBot="1" x14ac:dyDescent="0.3">
      <c r="A114" s="268" t="s">
        <v>201</v>
      </c>
      <c r="B114" s="317"/>
      <c r="C114" s="275">
        <v>27</v>
      </c>
      <c r="D114" s="276"/>
      <c r="E114" s="276"/>
      <c r="F114" s="276"/>
      <c r="G114" s="277"/>
      <c r="H114" s="142" t="s">
        <v>198</v>
      </c>
      <c r="I114" s="142"/>
      <c r="J114" s="142"/>
      <c r="K114" s="278"/>
      <c r="L114" s="278"/>
      <c r="M114" s="22"/>
      <c r="N114" s="19"/>
      <c r="O114" s="23"/>
    </row>
    <row r="115" spans="1:15" s="15" customFormat="1" ht="15.75" thickBot="1" x14ac:dyDescent="0.3">
      <c r="A115" s="330"/>
      <c r="B115" s="330"/>
      <c r="C115" s="331"/>
      <c r="D115" s="331"/>
      <c r="E115" s="331"/>
      <c r="F115" s="331"/>
      <c r="G115" s="331"/>
      <c r="H115" s="143" t="s">
        <v>199</v>
      </c>
      <c r="I115" s="144" t="s">
        <v>200</v>
      </c>
      <c r="J115" s="144"/>
      <c r="K115" s="278"/>
      <c r="L115" s="278"/>
      <c r="M115" s="278"/>
      <c r="N115" s="278"/>
      <c r="O115" s="278"/>
    </row>
    <row r="116" spans="1:15" ht="15.75" thickBot="1" x14ac:dyDescent="0.3">
      <c r="A116" s="249" t="s">
        <v>108</v>
      </c>
      <c r="B116" s="250"/>
      <c r="C116" s="82"/>
      <c r="D116" s="82"/>
      <c r="E116" s="82"/>
      <c r="F116" s="82"/>
      <c r="G116" s="83">
        <f>C113*C114</f>
        <v>2495.2888674000001</v>
      </c>
      <c r="K116" s="278"/>
      <c r="L116" s="278"/>
      <c r="M116" s="24"/>
      <c r="N116" s="279"/>
      <c r="O116" s="279"/>
    </row>
    <row r="117" spans="1:15" x14ac:dyDescent="0.25">
      <c r="K117" s="278"/>
      <c r="L117" s="278"/>
      <c r="M117" s="159"/>
      <c r="N117" s="279"/>
      <c r="O117" s="279"/>
    </row>
    <row r="118" spans="1:15" x14ac:dyDescent="0.25">
      <c r="A118" s="263" t="s">
        <v>87</v>
      </c>
      <c r="B118" s="263"/>
      <c r="C118" s="150"/>
      <c r="D118" s="150"/>
      <c r="E118" s="150"/>
      <c r="F118" s="150"/>
      <c r="G118" s="4"/>
      <c r="K118" s="278"/>
      <c r="L118" s="278"/>
      <c r="M118" s="159"/>
      <c r="N118" s="279"/>
      <c r="O118" s="279"/>
    </row>
    <row r="119" spans="1:15" ht="15.75" thickBot="1" x14ac:dyDescent="0.3">
      <c r="K119" s="278"/>
      <c r="L119" s="278"/>
      <c r="M119" s="25"/>
      <c r="N119" s="279"/>
      <c r="O119" s="279"/>
    </row>
    <row r="120" spans="1:15" ht="15.75" thickBot="1" x14ac:dyDescent="0.3">
      <c r="A120" s="235" t="s">
        <v>72</v>
      </c>
      <c r="B120" s="236"/>
      <c r="C120" s="236"/>
      <c r="D120" s="236"/>
      <c r="E120" s="236"/>
      <c r="F120" s="236"/>
      <c r="G120" s="237"/>
    </row>
    <row r="121" spans="1:15" ht="15.75" thickBot="1" x14ac:dyDescent="0.3">
      <c r="A121" s="247" t="s">
        <v>58</v>
      </c>
      <c r="B121" s="264"/>
      <c r="C121" s="260">
        <v>2640</v>
      </c>
      <c r="D121" s="261"/>
      <c r="E121" s="261"/>
      <c r="F121" s="261"/>
      <c r="G121" s="262"/>
    </row>
    <row r="122" spans="1:15" ht="15.75" thickBot="1" x14ac:dyDescent="0.3">
      <c r="A122" s="247" t="s">
        <v>59</v>
      </c>
      <c r="B122" s="264"/>
      <c r="C122" s="260">
        <v>1320</v>
      </c>
      <c r="D122" s="261"/>
      <c r="E122" s="261"/>
      <c r="F122" s="261"/>
      <c r="G122" s="262"/>
    </row>
    <row r="123" spans="1:15" ht="15.75" thickBot="1" x14ac:dyDescent="0.3">
      <c r="A123" s="247" t="s">
        <v>60</v>
      </c>
      <c r="B123" s="264"/>
      <c r="C123" s="247" t="s">
        <v>61</v>
      </c>
      <c r="D123" s="248"/>
      <c r="E123" s="248"/>
      <c r="F123" s="248"/>
      <c r="G123" s="264"/>
    </row>
    <row r="124" spans="1:15" ht="15.75" thickBot="1" x14ac:dyDescent="0.3">
      <c r="A124" s="151" t="s">
        <v>66</v>
      </c>
      <c r="B124" s="157"/>
      <c r="C124" s="247" t="s">
        <v>67</v>
      </c>
      <c r="D124" s="248"/>
      <c r="E124" s="248"/>
      <c r="F124" s="248"/>
      <c r="G124" s="264"/>
    </row>
    <row r="125" spans="1:15" ht="15.75" thickBot="1" x14ac:dyDescent="0.3">
      <c r="A125" s="151" t="s">
        <v>68</v>
      </c>
      <c r="B125" s="157"/>
      <c r="C125" s="265" t="s">
        <v>69</v>
      </c>
      <c r="D125" s="266"/>
      <c r="E125" s="266"/>
      <c r="F125" s="266"/>
      <c r="G125" s="267"/>
    </row>
    <row r="126" spans="1:15" ht="15.75" thickBot="1" x14ac:dyDescent="0.3">
      <c r="A126" s="151" t="s">
        <v>71</v>
      </c>
      <c r="B126" s="157"/>
      <c r="C126" s="160">
        <v>1</v>
      </c>
      <c r="D126" s="60"/>
      <c r="E126" s="60"/>
      <c r="F126" s="87"/>
      <c r="G126" s="63"/>
    </row>
    <row r="127" spans="1:15" ht="15.75" thickBot="1" x14ac:dyDescent="0.3">
      <c r="A127" s="268" t="s">
        <v>88</v>
      </c>
      <c r="B127" s="269"/>
      <c r="C127" s="270">
        <f>C121+C122</f>
        <v>3960</v>
      </c>
      <c r="D127" s="271"/>
      <c r="E127" s="271"/>
      <c r="F127" s="271"/>
      <c r="G127" s="272"/>
    </row>
    <row r="128" spans="1:15" ht="15.75" thickBot="1" x14ac:dyDescent="0.3">
      <c r="A128" s="268" t="s">
        <v>86</v>
      </c>
      <c r="B128" s="269"/>
      <c r="C128" s="270">
        <f>C127/220</f>
        <v>18</v>
      </c>
      <c r="D128" s="273"/>
      <c r="E128" s="273"/>
      <c r="F128" s="273"/>
      <c r="G128" s="274"/>
    </row>
    <row r="129" spans="1:15" ht="15.75" thickBot="1" x14ac:dyDescent="0.3">
      <c r="A129" s="268" t="s">
        <v>202</v>
      </c>
      <c r="B129" s="269"/>
      <c r="C129" s="275">
        <v>27</v>
      </c>
      <c r="D129" s="276"/>
      <c r="E129" s="276"/>
      <c r="F129" s="276"/>
      <c r="G129" s="277"/>
      <c r="H129" s="142"/>
      <c r="I129" s="142"/>
      <c r="J129" s="142"/>
    </row>
    <row r="130" spans="1:15" s="15" customFormat="1" ht="15.75" thickBot="1" x14ac:dyDescent="0.3">
      <c r="A130" s="330"/>
      <c r="B130" s="330"/>
      <c r="C130" s="331"/>
      <c r="D130" s="331"/>
      <c r="E130" s="331"/>
      <c r="F130" s="331"/>
      <c r="G130" s="331"/>
      <c r="H130" s="143"/>
      <c r="I130" s="144"/>
      <c r="J130" s="144"/>
      <c r="K130" s="26"/>
      <c r="L130" s="26"/>
      <c r="M130" s="26"/>
      <c r="N130" s="26"/>
      <c r="O130" s="26"/>
    </row>
    <row r="131" spans="1:15" ht="15.75" thickBot="1" x14ac:dyDescent="0.3">
      <c r="A131" s="249" t="s">
        <v>107</v>
      </c>
      <c r="B131" s="250"/>
      <c r="C131" s="82"/>
      <c r="D131" s="82"/>
      <c r="E131" s="82"/>
      <c r="F131" s="82"/>
      <c r="G131" s="83">
        <f>C128*C129</f>
        <v>486</v>
      </c>
    </row>
    <row r="132" spans="1:15" ht="15.75" thickBot="1" x14ac:dyDescent="0.3"/>
    <row r="133" spans="1:15" ht="15.75" thickBot="1" x14ac:dyDescent="0.3">
      <c r="A133" s="233" t="s">
        <v>110</v>
      </c>
      <c r="B133" s="234"/>
      <c r="C133" s="234"/>
      <c r="D133" s="234"/>
      <c r="E133" s="234"/>
      <c r="F133" s="234"/>
      <c r="G133" s="78"/>
    </row>
    <row r="134" spans="1:15" ht="15.75" thickBot="1" x14ac:dyDescent="0.3"/>
    <row r="135" spans="1:15" ht="15.75" thickBot="1" x14ac:dyDescent="0.3">
      <c r="A135" s="256" t="s">
        <v>13</v>
      </c>
      <c r="B135" s="257"/>
      <c r="C135" s="258"/>
      <c r="D135" s="74" t="s">
        <v>111</v>
      </c>
      <c r="E135" s="67" t="s">
        <v>135</v>
      </c>
      <c r="F135" s="236" t="s">
        <v>112</v>
      </c>
      <c r="G135" s="237"/>
    </row>
    <row r="136" spans="1:15" ht="15.75" thickBot="1" x14ac:dyDescent="0.3">
      <c r="A136" s="251" t="s">
        <v>116</v>
      </c>
      <c r="B136" s="252"/>
      <c r="C136" s="252"/>
      <c r="D136" s="75">
        <f xml:space="preserve"> 4.9/9</f>
        <v>0.54444444444444451</v>
      </c>
      <c r="E136" s="72">
        <v>4668</v>
      </c>
      <c r="F136" s="254">
        <f>D136*E136</f>
        <v>2541.4666666666672</v>
      </c>
      <c r="G136" s="255"/>
    </row>
    <row r="137" spans="1:15" ht="15.75" thickBot="1" x14ac:dyDescent="0.3">
      <c r="A137" s="247" t="s">
        <v>109</v>
      </c>
      <c r="B137" s="248"/>
      <c r="C137" s="248"/>
      <c r="D137" s="76">
        <v>12</v>
      </c>
      <c r="E137" s="59">
        <v>10</v>
      </c>
      <c r="F137" s="253">
        <f>D137*E137</f>
        <v>120</v>
      </c>
      <c r="G137" s="239"/>
    </row>
    <row r="138" spans="1:15" ht="15.75" thickBot="1" x14ac:dyDescent="0.3">
      <c r="A138" s="251" t="s">
        <v>117</v>
      </c>
      <c r="B138" s="252"/>
      <c r="C138" s="252"/>
      <c r="D138" s="75">
        <v>0.15</v>
      </c>
      <c r="E138" s="72">
        <v>4668</v>
      </c>
      <c r="F138" s="253">
        <f>D138*E138</f>
        <v>700.19999999999993</v>
      </c>
      <c r="G138" s="239"/>
    </row>
    <row r="139" spans="1:15" ht="15.75" thickBot="1" x14ac:dyDescent="0.3">
      <c r="A139" s="247" t="s">
        <v>118</v>
      </c>
      <c r="B139" s="248"/>
      <c r="C139" s="248"/>
      <c r="D139" s="77">
        <v>100</v>
      </c>
      <c r="E139" s="59">
        <v>4</v>
      </c>
      <c r="F139" s="253">
        <f>D139*E139*C85/2</f>
        <v>800</v>
      </c>
      <c r="G139" s="239"/>
    </row>
    <row r="140" spans="1:15" ht="15.75" thickBot="1" x14ac:dyDescent="0.3">
      <c r="A140" s="247" t="s">
        <v>115</v>
      </c>
      <c r="B140" s="248"/>
      <c r="C140" s="248"/>
      <c r="D140" s="77">
        <v>90</v>
      </c>
      <c r="E140" s="59">
        <v>4</v>
      </c>
      <c r="F140" s="253">
        <f>D140*E140*C85</f>
        <v>1440</v>
      </c>
      <c r="G140" s="239"/>
    </row>
    <row r="141" spans="1:15" ht="15.75" thickBot="1" x14ac:dyDescent="0.3">
      <c r="A141" s="153"/>
      <c r="B141" s="153"/>
      <c r="C141" s="153"/>
      <c r="D141" s="29"/>
      <c r="E141" s="8"/>
      <c r="F141" s="154"/>
      <c r="G141" s="154"/>
    </row>
    <row r="142" spans="1:15" ht="15" customHeight="1" thickBot="1" x14ac:dyDescent="0.3">
      <c r="A142" s="249" t="s">
        <v>128</v>
      </c>
      <c r="B142" s="250"/>
      <c r="C142" s="250"/>
      <c r="D142" s="79"/>
      <c r="E142" s="81"/>
      <c r="F142" s="81"/>
      <c r="G142" s="80">
        <f>F136+F137+F138+F139+F140</f>
        <v>5601.666666666667</v>
      </c>
    </row>
    <row r="143" spans="1:15" ht="15.75" thickBot="1" x14ac:dyDescent="0.3"/>
    <row r="144" spans="1:15" ht="15.75" thickBot="1" x14ac:dyDescent="0.3">
      <c r="A144" s="235" t="s">
        <v>119</v>
      </c>
      <c r="B144" s="236"/>
      <c r="C144" s="236"/>
      <c r="D144" s="236"/>
      <c r="E144" s="236"/>
      <c r="F144" s="236"/>
      <c r="G144" s="237"/>
    </row>
    <row r="145" spans="1:7" ht="15.75" thickBot="1" x14ac:dyDescent="0.3"/>
    <row r="146" spans="1:7" ht="15.75" thickBot="1" x14ac:dyDescent="0.3">
      <c r="A146" s="233" t="s">
        <v>120</v>
      </c>
      <c r="B146" s="234"/>
      <c r="C146" s="234"/>
      <c r="D146" s="234"/>
      <c r="E146" s="234"/>
      <c r="F146" s="234"/>
      <c r="G146" s="78"/>
    </row>
    <row r="147" spans="1:7" ht="15.75" thickBot="1" x14ac:dyDescent="0.3"/>
    <row r="148" spans="1:7" ht="15.75" thickBot="1" x14ac:dyDescent="0.3">
      <c r="A148" s="235" t="s">
        <v>13</v>
      </c>
      <c r="B148" s="236"/>
      <c r="C148" s="236"/>
      <c r="D148" s="237"/>
      <c r="E148" s="67" t="s">
        <v>124</v>
      </c>
      <c r="F148" s="236" t="s">
        <v>127</v>
      </c>
      <c r="G148" s="237"/>
    </row>
    <row r="149" spans="1:7" ht="15.75" thickBot="1" x14ac:dyDescent="0.3">
      <c r="A149" s="222" t="s">
        <v>121</v>
      </c>
      <c r="B149" s="223"/>
      <c r="C149" s="223"/>
      <c r="D149" s="224"/>
      <c r="E149" s="69">
        <v>2.76E-2</v>
      </c>
      <c r="F149" s="254">
        <v>1092.1099999999999</v>
      </c>
      <c r="G149" s="255"/>
    </row>
    <row r="150" spans="1:7" ht="15.75" thickBot="1" x14ac:dyDescent="0.3">
      <c r="A150" s="225" t="s">
        <v>125</v>
      </c>
      <c r="B150" s="226"/>
      <c r="C150" s="226"/>
      <c r="D150" s="227"/>
      <c r="E150" s="70">
        <v>6.0000000000000001E-3</v>
      </c>
      <c r="F150" s="238">
        <v>237.41</v>
      </c>
      <c r="G150" s="239"/>
    </row>
    <row r="151" spans="1:7" ht="15.75" thickBot="1" x14ac:dyDescent="0.3">
      <c r="A151" s="225" t="s">
        <v>122</v>
      </c>
      <c r="B151" s="226"/>
      <c r="C151" s="226"/>
      <c r="D151" s="227"/>
      <c r="E151" s="70">
        <v>2.87E-2</v>
      </c>
      <c r="F151" s="238">
        <v>1135.6400000000001</v>
      </c>
      <c r="G151" s="239"/>
    </row>
    <row r="152" spans="1:7" ht="15.75" thickBot="1" x14ac:dyDescent="0.3">
      <c r="A152" s="225" t="s">
        <v>123</v>
      </c>
      <c r="B152" s="226"/>
      <c r="C152" s="226"/>
      <c r="D152" s="227"/>
      <c r="E152" s="70">
        <v>2.9399999999999999E-2</v>
      </c>
      <c r="F152" s="238">
        <v>1163.3399999999999</v>
      </c>
      <c r="G152" s="239"/>
    </row>
    <row r="153" spans="1:7" ht="15.75" thickBot="1" x14ac:dyDescent="0.3">
      <c r="A153" s="228" t="s">
        <v>126</v>
      </c>
      <c r="B153" s="229"/>
      <c r="C153" s="229"/>
      <c r="D153" s="230"/>
      <c r="E153" s="71">
        <v>6.1156000000000002E-2</v>
      </c>
      <c r="F153" s="240">
        <v>2417.69</v>
      </c>
      <c r="G153" s="241"/>
    </row>
    <row r="154" spans="1:7" ht="15.75" thickBot="1" x14ac:dyDescent="0.3"/>
    <row r="155" spans="1:7" ht="15.75" thickBot="1" x14ac:dyDescent="0.3">
      <c r="A155" s="231" t="s">
        <v>138</v>
      </c>
      <c r="B155" s="232"/>
      <c r="C155" s="232"/>
      <c r="D155" s="79"/>
      <c r="E155" s="79"/>
      <c r="F155" s="79"/>
      <c r="G155" s="80">
        <f>F149+F150+F151+F152+F153</f>
        <v>6046.1900000000005</v>
      </c>
    </row>
    <row r="156" spans="1:7" ht="15.75" thickBot="1" x14ac:dyDescent="0.3"/>
    <row r="157" spans="1:7" ht="15.75" thickBot="1" x14ac:dyDescent="0.3">
      <c r="A157" s="233" t="s">
        <v>192</v>
      </c>
      <c r="B157" s="234"/>
      <c r="C157" s="234"/>
      <c r="D157" s="234"/>
      <c r="E157" s="234"/>
      <c r="F157" s="234"/>
      <c r="G157" s="78"/>
    </row>
    <row r="158" spans="1:7" ht="15.75" thickBot="1" x14ac:dyDescent="0.3"/>
    <row r="159" spans="1:7" ht="15.75" thickBot="1" x14ac:dyDescent="0.3">
      <c r="A159" s="235" t="s">
        <v>13</v>
      </c>
      <c r="B159" s="236"/>
      <c r="C159" s="236"/>
      <c r="D159" s="237"/>
      <c r="E159" s="67" t="s">
        <v>140</v>
      </c>
      <c r="F159" s="235" t="s">
        <v>139</v>
      </c>
      <c r="G159" s="237"/>
    </row>
    <row r="160" spans="1:7" ht="15.75" thickBot="1" x14ac:dyDescent="0.3">
      <c r="A160" s="228" t="s">
        <v>137</v>
      </c>
      <c r="B160" s="229"/>
      <c r="C160" s="229"/>
      <c r="D160" s="230"/>
      <c r="E160" s="68">
        <f>F160*100/G9</f>
        <v>43.517139090245429</v>
      </c>
      <c r="F160" s="242">
        <f>G9-G43-G54-G65-G73-G116-G131-G142-G155</f>
        <v>17219.518704028575</v>
      </c>
      <c r="G160" s="241"/>
    </row>
    <row r="164" spans="3:3" x14ac:dyDescent="0.25">
      <c r="C164" s="30"/>
    </row>
    <row r="165" spans="3:3" x14ac:dyDescent="0.25">
      <c r="C165" s="30"/>
    </row>
    <row r="170" spans="3:3" x14ac:dyDescent="0.25">
      <c r="C170" s="31" t="s">
        <v>141</v>
      </c>
    </row>
    <row r="171" spans="3:3" x14ac:dyDescent="0.25">
      <c r="C171" s="31" t="s">
        <v>142</v>
      </c>
    </row>
    <row r="172" spans="3:3" x14ac:dyDescent="0.25">
      <c r="C172" s="32" t="s">
        <v>143</v>
      </c>
    </row>
    <row r="173" spans="3:3" x14ac:dyDescent="0.25">
      <c r="C173" s="32" t="s">
        <v>144</v>
      </c>
    </row>
    <row r="174" spans="3:3" x14ac:dyDescent="0.25">
      <c r="C174" s="33"/>
    </row>
  </sheetData>
  <sheetProtection algorithmName="SHA-512" hashValue="H2uO2DHW3h1FamCQqE0tFI6Z97zFRmQC8KFdyqzvM6GaA9Da4Q0B6K+rN+3npNQZr1XigI6aHPi4RmYXKZEpdg==" saltValue="aMFqV5xgUMh8Ujbl6RAYiA==" spinCount="100000" sheet="1" objects="1" scenarios="1"/>
  <protectedRanges>
    <protectedRange sqref="K11" name="Range1"/>
  </protectedRanges>
  <mergeCells count="160">
    <mergeCell ref="B3:G3"/>
    <mergeCell ref="A6:G6"/>
    <mergeCell ref="B8:C8"/>
    <mergeCell ref="B9:C9"/>
    <mergeCell ref="A15:G15"/>
    <mergeCell ref="A17:F17"/>
    <mergeCell ref="A49:B49"/>
    <mergeCell ref="A50:B50"/>
    <mergeCell ref="A51:B51"/>
    <mergeCell ref="A52:F52"/>
    <mergeCell ref="A56:F56"/>
    <mergeCell ref="A58:B58"/>
    <mergeCell ref="A26:F26"/>
    <mergeCell ref="A32:F32"/>
    <mergeCell ref="A41:F41"/>
    <mergeCell ref="A45:F45"/>
    <mergeCell ref="A47:B47"/>
    <mergeCell ref="A48:B48"/>
    <mergeCell ref="A70:B70"/>
    <mergeCell ref="A75:F75"/>
    <mergeCell ref="A77:B77"/>
    <mergeCell ref="A79:G79"/>
    <mergeCell ref="A80:B80"/>
    <mergeCell ref="C80:G80"/>
    <mergeCell ref="A59:B59"/>
    <mergeCell ref="A60:B60"/>
    <mergeCell ref="A61:B61"/>
    <mergeCell ref="A63:F63"/>
    <mergeCell ref="A67:F67"/>
    <mergeCell ref="A69:B69"/>
    <mergeCell ref="A86:G86"/>
    <mergeCell ref="A87:B87"/>
    <mergeCell ref="C87:G87"/>
    <mergeCell ref="A88:B88"/>
    <mergeCell ref="C88:G88"/>
    <mergeCell ref="A89:B89"/>
    <mergeCell ref="C89:G89"/>
    <mergeCell ref="A81:B81"/>
    <mergeCell ref="C81:G81"/>
    <mergeCell ref="A82:B82"/>
    <mergeCell ref="C82:G82"/>
    <mergeCell ref="C83:G83"/>
    <mergeCell ref="C84:G84"/>
    <mergeCell ref="A94:B94"/>
    <mergeCell ref="C94:G94"/>
    <mergeCell ref="A95:B95"/>
    <mergeCell ref="C95:G95"/>
    <mergeCell ref="A96:B96"/>
    <mergeCell ref="C96:G96"/>
    <mergeCell ref="A90:B90"/>
    <mergeCell ref="C90:G90"/>
    <mergeCell ref="A91:G91"/>
    <mergeCell ref="A92:B92"/>
    <mergeCell ref="C92:G92"/>
    <mergeCell ref="A93:B93"/>
    <mergeCell ref="C93:G93"/>
    <mergeCell ref="K99:L99"/>
    <mergeCell ref="A100:G100"/>
    <mergeCell ref="A101:B101"/>
    <mergeCell ref="C101:G101"/>
    <mergeCell ref="A102:B102"/>
    <mergeCell ref="C102:G102"/>
    <mergeCell ref="A97:B97"/>
    <mergeCell ref="C97:G97"/>
    <mergeCell ref="A98:B98"/>
    <mergeCell ref="C98:G98"/>
    <mergeCell ref="A99:B99"/>
    <mergeCell ref="C99:G99"/>
    <mergeCell ref="A106:G106"/>
    <mergeCell ref="A107:B107"/>
    <mergeCell ref="C107:G107"/>
    <mergeCell ref="A108:B108"/>
    <mergeCell ref="C108:G108"/>
    <mergeCell ref="A109:B109"/>
    <mergeCell ref="C109:G109"/>
    <mergeCell ref="A103:B103"/>
    <mergeCell ref="C103:G103"/>
    <mergeCell ref="A104:B104"/>
    <mergeCell ref="C104:G104"/>
    <mergeCell ref="A105:B105"/>
    <mergeCell ref="C105:G105"/>
    <mergeCell ref="A113:B113"/>
    <mergeCell ref="C113:G113"/>
    <mergeCell ref="K113:L113"/>
    <mergeCell ref="A114:B114"/>
    <mergeCell ref="C114:G114"/>
    <mergeCell ref="K114:L114"/>
    <mergeCell ref="A110:B110"/>
    <mergeCell ref="C110:G110"/>
    <mergeCell ref="A111:B111"/>
    <mergeCell ref="C111:G111"/>
    <mergeCell ref="K111:L111"/>
    <mergeCell ref="A112:B112"/>
    <mergeCell ref="C112:G112"/>
    <mergeCell ref="K112:L112"/>
    <mergeCell ref="K117:L117"/>
    <mergeCell ref="N117:O117"/>
    <mergeCell ref="A118:B118"/>
    <mergeCell ref="K118:L118"/>
    <mergeCell ref="N118:O118"/>
    <mergeCell ref="K119:L119"/>
    <mergeCell ref="N119:O119"/>
    <mergeCell ref="A115:B115"/>
    <mergeCell ref="C115:G115"/>
    <mergeCell ref="K115:O115"/>
    <mergeCell ref="A116:B116"/>
    <mergeCell ref="K116:L116"/>
    <mergeCell ref="N116:O116"/>
    <mergeCell ref="C124:G124"/>
    <mergeCell ref="C125:G125"/>
    <mergeCell ref="A127:B127"/>
    <mergeCell ref="C127:G127"/>
    <mergeCell ref="A128:B128"/>
    <mergeCell ref="C128:G128"/>
    <mergeCell ref="A120:G120"/>
    <mergeCell ref="A121:B121"/>
    <mergeCell ref="C121:G121"/>
    <mergeCell ref="A122:B122"/>
    <mergeCell ref="C122:G122"/>
    <mergeCell ref="A123:B123"/>
    <mergeCell ref="C123:G123"/>
    <mergeCell ref="A135:C135"/>
    <mergeCell ref="F135:G135"/>
    <mergeCell ref="A136:C136"/>
    <mergeCell ref="F136:G136"/>
    <mergeCell ref="A137:C137"/>
    <mergeCell ref="F137:G137"/>
    <mergeCell ref="A129:B129"/>
    <mergeCell ref="C129:G129"/>
    <mergeCell ref="A130:B130"/>
    <mergeCell ref="C130:G130"/>
    <mergeCell ref="A131:B131"/>
    <mergeCell ref="A133:F133"/>
    <mergeCell ref="A142:C142"/>
    <mergeCell ref="A144:G144"/>
    <mergeCell ref="A146:F146"/>
    <mergeCell ref="A148:D148"/>
    <mergeCell ref="F148:G148"/>
    <mergeCell ref="A149:D149"/>
    <mergeCell ref="F149:G149"/>
    <mergeCell ref="A138:C138"/>
    <mergeCell ref="F138:G138"/>
    <mergeCell ref="A139:C139"/>
    <mergeCell ref="F139:G139"/>
    <mergeCell ref="A140:C140"/>
    <mergeCell ref="F140:G140"/>
    <mergeCell ref="A160:D160"/>
    <mergeCell ref="F160:G160"/>
    <mergeCell ref="A153:D153"/>
    <mergeCell ref="F153:G153"/>
    <mergeCell ref="A155:C155"/>
    <mergeCell ref="A157:F157"/>
    <mergeCell ref="A159:D159"/>
    <mergeCell ref="F159:G159"/>
    <mergeCell ref="A150:D150"/>
    <mergeCell ref="F150:G150"/>
    <mergeCell ref="A151:D151"/>
    <mergeCell ref="F151:G151"/>
    <mergeCell ref="A152:D152"/>
    <mergeCell ref="F152:G15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Resumo</vt:lpstr>
      <vt:lpstr> Detalhamento Rota 1 e 2</vt:lpstr>
      <vt:lpstr>Detalhamento Rota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Henrique</dc:creator>
  <cp:lastModifiedBy>Luiz Henrique</cp:lastModifiedBy>
  <cp:lastPrinted>2025-03-11T13:58:09Z</cp:lastPrinted>
  <dcterms:created xsi:type="dcterms:W3CDTF">2024-11-05T17:33:50Z</dcterms:created>
  <dcterms:modified xsi:type="dcterms:W3CDTF">2025-05-20T19:44:08Z</dcterms:modified>
</cp:coreProperties>
</file>